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edtest-my.sharepoint.com/personal/yoana_uzunova_ista_ch/Documents/Desktop/"/>
    </mc:Choice>
  </mc:AlternateContent>
  <xr:revisionPtr revIDLastSave="0" documentId="8_{70812DE6-9079-44D8-8396-A01A2B72C2C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ISTA Rules - 5.8" sheetId="1" r:id="rId1"/>
  </sheets>
  <definedNames>
    <definedName name="_xlnm.Print_Area" localSheetId="0">'ISTA Rules - 5.8'!$A$1:$T$48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1" i="1" l="1"/>
  <c r="AD38" i="1" s="1"/>
  <c r="AD11" i="1"/>
  <c r="AC11" i="1"/>
  <c r="K1" i="1" s="1"/>
  <c r="AB11" i="1"/>
  <c r="G1" i="1" s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B13" i="1"/>
  <c r="AB14" i="1"/>
  <c r="AB15" i="1"/>
  <c r="AB16" i="1"/>
  <c r="AB17" i="1"/>
  <c r="AB18" i="1"/>
  <c r="AB19" i="1"/>
  <c r="AB20" i="1"/>
  <c r="S1" i="1" l="1"/>
  <c r="AD32" i="1"/>
  <c r="AD28" i="1"/>
  <c r="AD36" i="1"/>
  <c r="AD34" i="1"/>
  <c r="AD33" i="1"/>
  <c r="AD35" i="1"/>
  <c r="AD37" i="1"/>
  <c r="O1" i="1"/>
  <c r="AD31" i="1"/>
  <c r="AD29" i="1"/>
  <c r="AD30" i="1"/>
  <c r="AC27" i="1"/>
  <c r="G18" i="1" s="1"/>
  <c r="AD27" i="1"/>
  <c r="AC21" i="1"/>
  <c r="AB21" i="1"/>
  <c r="AE21" i="1"/>
  <c r="AD21" i="1"/>
  <c r="AB37" i="1" l="1"/>
  <c r="AE37" i="1" s="1"/>
  <c r="AC28" i="1"/>
  <c r="AB28" i="1"/>
  <c r="AE28" i="1" s="1"/>
  <c r="AC34" i="1"/>
  <c r="AB33" i="1"/>
  <c r="AE33" i="1" s="1"/>
  <c r="AC38" i="1"/>
  <c r="AC35" i="1"/>
  <c r="AB38" i="1"/>
  <c r="AE38" i="1" s="1"/>
  <c r="AB34" i="1"/>
  <c r="AE34" i="1" s="1"/>
  <c r="AC37" i="1"/>
  <c r="AC33" i="1"/>
  <c r="AB36" i="1"/>
  <c r="AE36" i="1" s="1"/>
  <c r="AB32" i="1"/>
  <c r="AE32" i="1" s="1"/>
  <c r="AC36" i="1"/>
  <c r="AC32" i="1"/>
  <c r="AB35" i="1"/>
  <c r="AE35" i="1" s="1"/>
  <c r="AB30" i="1"/>
  <c r="AE30" i="1" s="1"/>
  <c r="O16" i="1"/>
  <c r="AC30" i="1"/>
  <c r="AC31" i="1"/>
  <c r="AB29" i="1"/>
  <c r="AE29" i="1" s="1"/>
  <c r="AC29" i="1"/>
  <c r="AB31" i="1"/>
  <c r="AE31" i="1" s="1"/>
  <c r="AB27" i="1"/>
  <c r="AE27" i="1" s="1"/>
  <c r="AF27" i="1" s="1"/>
  <c r="G16" i="1"/>
  <c r="K16" i="1"/>
  <c r="AI31" i="1"/>
  <c r="AI30" i="1"/>
  <c r="AI28" i="1"/>
  <c r="AI29" i="1"/>
  <c r="AI27" i="1"/>
  <c r="S16" i="1"/>
  <c r="AI34" i="1"/>
  <c r="AI38" i="1"/>
  <c r="AI36" i="1"/>
  <c r="AI33" i="1"/>
  <c r="AI32" i="1"/>
  <c r="AI37" i="1"/>
  <c r="AI35" i="1"/>
  <c r="AF28" i="1" l="1"/>
  <c r="G22" i="1"/>
  <c r="G20" i="1"/>
  <c r="AJ27" i="1"/>
  <c r="AF29" i="1" l="1"/>
  <c r="D28" i="1"/>
  <c r="S26" i="1"/>
  <c r="AB43" i="1"/>
  <c r="AF31" i="1" l="1"/>
  <c r="AF30" i="1"/>
  <c r="O26" i="1"/>
  <c r="G26" i="1"/>
  <c r="K26" i="1"/>
  <c r="AJ29" i="1"/>
  <c r="AG28" i="1"/>
  <c r="AJ28" i="1"/>
  <c r="K28" i="1"/>
  <c r="O28" i="1"/>
  <c r="G28" i="1"/>
  <c r="S28" i="1" l="1"/>
  <c r="AJ31" i="1"/>
  <c r="AJ30" i="1"/>
  <c r="AG31" i="1" l="1"/>
  <c r="AF32" i="1" l="1"/>
  <c r="AF34" i="1" s="1"/>
  <c r="AF33" i="1" l="1"/>
  <c r="AF35" i="1" s="1"/>
  <c r="AJ32" i="1"/>
  <c r="AJ34" i="1"/>
  <c r="AJ33" i="1" l="1"/>
  <c r="AG35" i="1"/>
  <c r="AJ35" i="1"/>
  <c r="AF38" i="1" l="1"/>
  <c r="AJ38" i="1" s="1"/>
  <c r="AF36" i="1"/>
  <c r="AJ36" i="1" s="1"/>
  <c r="AF37" i="1"/>
  <c r="AJ37" i="1" s="1"/>
  <c r="AB41" i="1" l="1"/>
  <c r="AA41" i="1" s="1"/>
  <c r="AA42" i="1" s="1"/>
  <c r="A10" i="1" s="1"/>
  <c r="AG38" i="1"/>
  <c r="K22" i="1" l="1"/>
  <c r="D30" i="1" s="1"/>
  <c r="O22" i="1"/>
  <c r="O40" i="1" s="1"/>
  <c r="D34" i="1"/>
  <c r="S22" i="1"/>
  <c r="K30" i="1"/>
  <c r="O30" i="1" l="1"/>
  <c r="G34" i="1"/>
  <c r="O34" i="1"/>
  <c r="O32" i="1"/>
  <c r="D32" i="1"/>
  <c r="K32" i="1"/>
  <c r="G30" i="1"/>
  <c r="G32" i="1"/>
  <c r="K34" i="1"/>
  <c r="O48" i="1"/>
  <c r="G38" i="1"/>
  <c r="G44" i="1"/>
  <c r="G42" i="1"/>
  <c r="K48" i="1"/>
  <c r="S48" i="1" s="1"/>
  <c r="K46" i="1"/>
  <c r="O38" i="1"/>
  <c r="K36" i="1"/>
  <c r="G36" i="1"/>
  <c r="K38" i="1"/>
  <c r="D42" i="1"/>
  <c r="D48" i="1"/>
  <c r="D40" i="1"/>
  <c r="D46" i="1"/>
  <c r="D38" i="1"/>
  <c r="D44" i="1"/>
  <c r="D36" i="1"/>
  <c r="K44" i="1"/>
  <c r="O42" i="1"/>
  <c r="G46" i="1"/>
  <c r="K40" i="1"/>
  <c r="S40" i="1" s="1"/>
  <c r="O46" i="1"/>
  <c r="G40" i="1"/>
  <c r="G48" i="1"/>
  <c r="K42" i="1"/>
  <c r="S42" i="1" s="1"/>
  <c r="O36" i="1"/>
  <c r="O44" i="1"/>
  <c r="S30" i="1"/>
  <c r="S32" i="1" l="1"/>
  <c r="S34" i="1"/>
  <c r="S36" i="1"/>
  <c r="S38" i="1"/>
  <c r="S44" i="1"/>
  <c r="S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Jean-Louis Laffont</author>
    <author>laffont, JeanLouis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8 maximum</t>
        </r>
      </text>
    </comment>
    <comment ref="G5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Up to 8 values
Leave </t>
        </r>
        <r>
          <rPr>
            <b/>
            <sz val="9"/>
            <color indexed="81"/>
            <rFont val="Tahoma"/>
            <family val="2"/>
          </rPr>
          <t>empty cells</t>
        </r>
        <r>
          <rPr>
            <b/>
            <sz val="8"/>
            <color indexed="81"/>
            <rFont val="Tahoma"/>
            <family val="2"/>
          </rPr>
          <t xml:space="preserve">
when there is no value
</t>
        </r>
      </text>
    </comment>
    <comment ref="K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Up to 8 values
Leave </t>
        </r>
        <r>
          <rPr>
            <b/>
            <sz val="9"/>
            <color indexed="81"/>
            <rFont val="Tahoma"/>
            <family val="2"/>
          </rPr>
          <t>empty cells</t>
        </r>
        <r>
          <rPr>
            <b/>
            <sz val="8"/>
            <color indexed="81"/>
            <rFont val="Tahoma"/>
            <family val="2"/>
          </rPr>
          <t xml:space="preserve">
when there is no value
</t>
        </r>
      </text>
    </comment>
    <comment ref="O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Up to 8 values
Leave </t>
        </r>
        <r>
          <rPr>
            <b/>
            <sz val="9"/>
            <color indexed="81"/>
            <rFont val="Tahoma"/>
            <family val="2"/>
          </rPr>
          <t>empty cells</t>
        </r>
        <r>
          <rPr>
            <b/>
            <sz val="8"/>
            <color indexed="81"/>
            <rFont val="Tahoma"/>
            <family val="2"/>
          </rPr>
          <t xml:space="preserve">
when there is no value
</t>
        </r>
      </text>
    </comment>
    <comment ref="S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Up to 8 values
Leave </t>
        </r>
        <r>
          <rPr>
            <b/>
            <sz val="9"/>
            <color indexed="81"/>
            <rFont val="Tahoma"/>
            <family val="2"/>
          </rPr>
          <t>empty cells</t>
        </r>
        <r>
          <rPr>
            <b/>
            <sz val="8"/>
            <color indexed="81"/>
            <rFont val="Tahoma"/>
            <family val="2"/>
          </rPr>
          <t xml:space="preserve">
when there is no value
</t>
        </r>
      </text>
    </comment>
  </commentList>
</comments>
</file>

<file path=xl/sharedStrings.xml><?xml version="1.0" encoding="utf-8"?>
<sst xmlns="http://schemas.openxmlformats.org/spreadsheetml/2006/main" count="71" uniqueCount="44">
  <si>
    <t>Computations</t>
  </si>
  <si>
    <t>Germination: Calculation and expression of results</t>
  </si>
  <si>
    <t>ISTA Rules - Chapter 5 - 5.8</t>
  </si>
  <si>
    <t># of tests</t>
  </si>
  <si>
    <t># of replicates</t>
  </si>
  <si>
    <t># of seeds per replicate</t>
  </si>
  <si>
    <t>Enter results of Test 1 below</t>
  </si>
  <si>
    <t>Replicate #</t>
  </si>
  <si>
    <t>Test 1</t>
  </si>
  <si>
    <t># of reps</t>
  </si>
  <si>
    <t>Average</t>
  </si>
  <si>
    <t>Observed Range</t>
  </si>
  <si>
    <t>Tolerated Range</t>
  </si>
  <si>
    <t>Percentages</t>
  </si>
  <si>
    <t>Rep #</t>
  </si>
  <si>
    <t>average</t>
  </si>
  <si>
    <t>Tolerance</t>
  </si>
  <si>
    <t>Studentized range quantiles, 2-way test at 2.5% signif level, df=inf</t>
  </si>
  <si>
    <t>quantile</t>
  </si>
  <si>
    <t>Comment</t>
  </si>
  <si>
    <t>Test 2</t>
  </si>
  <si>
    <t>Test 3</t>
  </si>
  <si>
    <t>Test 4</t>
  </si>
  <si>
    <t>Enter results of Test 2 below</t>
  </si>
  <si>
    <t>Enter results of Test 3 below</t>
  </si>
  <si>
    <t>Enter results of Test 4 below</t>
  </si>
  <si>
    <t>1&amp;2</t>
  </si>
  <si>
    <t>1&amp;2&amp;3</t>
  </si>
  <si>
    <t>1&amp;3</t>
  </si>
  <si>
    <t>2&amp;3</t>
  </si>
  <si>
    <t>1&amp;2&amp;3&amp;4</t>
  </si>
  <si>
    <t>1&amp;2&amp;4</t>
  </si>
  <si>
    <t>1&amp;3&amp;4</t>
  </si>
  <si>
    <t>2&amp;3&amp;4</t>
  </si>
  <si>
    <t>1&amp;4</t>
  </si>
  <si>
    <t>2&amp;4</t>
  </si>
  <si>
    <t>3&amp;4</t>
  </si>
  <si>
    <t>Obs rng</t>
  </si>
  <si>
    <t>Quant</t>
  </si>
  <si>
    <t>Comment1</t>
  </si>
  <si>
    <t>Comment2</t>
  </si>
  <si>
    <t>Report value</t>
  </si>
  <si>
    <t>Result reported:</t>
  </si>
  <si>
    <t>Change any value in a yellow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</si>
</sst>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1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indexed="81"/>
      <name val="Tahoma"/>
      <family val="2"/>
    </font>
    <font>
      <b/>
      <sz val="12"/>
      <color rgb="FF0000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Protection="1"/>
    <xf numFmtId="0" fontId="0" fillId="0" borderId="2" xfId="0" applyBorder="1" applyProtection="1"/>
    <xf numFmtId="0" fontId="10" fillId="0" borderId="12" xfId="0" applyFont="1" applyBorder="1" applyAlignment="1" applyProtection="1">
      <alignment horizontal="center"/>
    </xf>
    <xf numFmtId="0" fontId="0" fillId="0" borderId="5" xfId="0" applyBorder="1" applyProtection="1"/>
    <xf numFmtId="0" fontId="7" fillId="0" borderId="0" xfId="0" applyFont="1" applyProtection="1"/>
    <xf numFmtId="0" fontId="0" fillId="0" borderId="3" xfId="0" applyBorder="1" applyProtection="1"/>
    <xf numFmtId="0" fontId="10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3" xfId="0" applyFont="1" applyBorder="1" applyProtection="1"/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11" xfId="0" applyBorder="1" applyProtection="1"/>
    <xf numFmtId="0" fontId="0" fillId="0" borderId="7" xfId="0" applyBorder="1" applyProtection="1"/>
    <xf numFmtId="2" fontId="0" fillId="0" borderId="0" xfId="0" applyNumberForma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11" fillId="0" borderId="0" xfId="0" applyFont="1" applyBorder="1" applyAlignment="1" applyProtection="1"/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Fill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64" fontId="12" fillId="0" borderId="0" xfId="0" applyNumberFormat="1" applyFont="1" applyFill="1" applyAlignment="1" applyProtection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C179"/>
  <sheetViews>
    <sheetView showGridLines="0" showRowColHeaders="0" tabSelected="1" zoomScaleNormal="100" workbookViewId="0">
      <selection activeCell="B5" sqref="B5"/>
    </sheetView>
  </sheetViews>
  <sheetFormatPr defaultColWidth="9.1328125" defaultRowHeight="12.75" x14ac:dyDescent="0.35"/>
  <cols>
    <col min="1" max="1" width="22.59765625" style="9" customWidth="1"/>
    <col min="2" max="2" width="10.3984375" style="9" customWidth="1"/>
    <col min="3" max="3" width="1.1328125" style="9" customWidth="1"/>
    <col min="4" max="4" width="30.1328125" style="9" bestFit="1" customWidth="1"/>
    <col min="5" max="5" width="2.73046875" style="9" customWidth="1"/>
    <col min="6" max="6" width="1.1328125" style="9" customWidth="1"/>
    <col min="7" max="7" width="22.86328125" style="9" customWidth="1"/>
    <col min="8" max="8" width="1.1328125" style="9" customWidth="1"/>
    <col min="9" max="9" width="1.73046875" style="9" customWidth="1"/>
    <col min="10" max="10" width="1.1328125" style="9" customWidth="1"/>
    <col min="11" max="11" width="22.86328125" style="9" customWidth="1"/>
    <col min="12" max="12" width="1.1328125" style="9" customWidth="1"/>
    <col min="13" max="13" width="1.73046875" style="9" customWidth="1"/>
    <col min="14" max="14" width="1.1328125" style="9" customWidth="1"/>
    <col min="15" max="15" width="22.73046875" style="9" customWidth="1"/>
    <col min="16" max="16" width="1.1328125" style="9" customWidth="1"/>
    <col min="17" max="17" width="1.73046875" style="9" customWidth="1"/>
    <col min="18" max="18" width="1.1328125" style="9" customWidth="1"/>
    <col min="19" max="19" width="22.73046875" style="9" customWidth="1"/>
    <col min="20" max="20" width="1.1328125" style="9" customWidth="1"/>
    <col min="21" max="21" width="11.265625" style="9" customWidth="1"/>
    <col min="22" max="22" width="7.73046875" style="42" customWidth="1"/>
    <col min="23" max="23" width="10.73046875" style="42" customWidth="1"/>
    <col min="24" max="24" width="5.86328125" style="42" customWidth="1"/>
    <col min="25" max="25" width="7" style="42" customWidth="1"/>
    <col min="26" max="26" width="5.86328125" style="42" bestFit="1" customWidth="1"/>
    <col min="27" max="27" width="17.265625" style="43" customWidth="1"/>
    <col min="28" max="28" width="12.3984375" style="43" customWidth="1"/>
    <col min="29" max="31" width="9.1328125" style="42"/>
    <col min="32" max="33" width="10" style="42" bestFit="1" customWidth="1"/>
    <col min="34" max="34" width="10" style="42" customWidth="1"/>
    <col min="35" max="81" width="9.1328125" style="42"/>
    <col min="82" max="159" width="9.1328125" style="9"/>
  </cols>
  <sheetData>
    <row r="1" spans="1:31" ht="27.75" customHeight="1" x14ac:dyDescent="0.4">
      <c r="A1" s="8" t="s">
        <v>1</v>
      </c>
      <c r="G1" s="56" t="str">
        <f>IF($B$5&lt;&gt;AB11,IF(AB11&gt;0,"Warning: # of results different from # of reps in Test 1", ""),"")</f>
        <v/>
      </c>
      <c r="K1" s="56" t="str">
        <f>IF($B$5&lt;&gt;AC11,IF(AC11&gt;0,"Warning: # of results different from # of reps in Test 2", ""),"")</f>
        <v/>
      </c>
      <c r="O1" s="56" t="str">
        <f>IF($B$5&lt;&gt;AD11,IF(AD11&gt;0,"Warning: # of results different from # of reps in Test 3", ""),"")</f>
        <v/>
      </c>
      <c r="S1" s="56" t="str">
        <f>IF($B$5&lt;&gt;AE11,IF(AE11&gt;0,"Warning: # of results different from # of reps in Test 4", ""),"")</f>
        <v/>
      </c>
      <c r="V1" s="40" t="s">
        <v>17</v>
      </c>
      <c r="W1" s="41"/>
    </row>
    <row r="2" spans="1:31" ht="13.5" thickBot="1" x14ac:dyDescent="0.45">
      <c r="A2" s="10" t="s">
        <v>2</v>
      </c>
      <c r="G2" s="57"/>
      <c r="K2" s="57"/>
      <c r="O2" s="57"/>
      <c r="S2" s="57"/>
      <c r="V2" s="44" t="s">
        <v>3</v>
      </c>
      <c r="W2" s="44" t="s">
        <v>18</v>
      </c>
    </row>
    <row r="3" spans="1:31" ht="6" customHeight="1" x14ac:dyDescent="0.4">
      <c r="A3" s="10"/>
      <c r="F3" s="11"/>
      <c r="G3" s="12"/>
      <c r="H3" s="13"/>
      <c r="J3" s="11"/>
      <c r="K3" s="12"/>
      <c r="L3" s="13"/>
      <c r="N3" s="11"/>
      <c r="O3" s="12"/>
      <c r="P3" s="13"/>
      <c r="R3" s="11"/>
      <c r="S3" s="12"/>
      <c r="T3" s="13"/>
      <c r="V3" s="44">
        <v>2</v>
      </c>
      <c r="W3" s="44">
        <v>3.17</v>
      </c>
    </row>
    <row r="4" spans="1:31" ht="15.4" thickBot="1" x14ac:dyDescent="0.45">
      <c r="A4" s="14"/>
      <c r="F4" s="15"/>
      <c r="G4" s="16" t="s">
        <v>8</v>
      </c>
      <c r="H4" s="17"/>
      <c r="J4" s="15"/>
      <c r="K4" s="16" t="s">
        <v>20</v>
      </c>
      <c r="L4" s="17"/>
      <c r="N4" s="15"/>
      <c r="O4" s="16" t="s">
        <v>21</v>
      </c>
      <c r="P4" s="17"/>
      <c r="R4" s="15"/>
      <c r="S4" s="16" t="s">
        <v>22</v>
      </c>
      <c r="T4" s="17"/>
      <c r="V4" s="44">
        <v>3</v>
      </c>
      <c r="W4" s="44">
        <v>3.68</v>
      </c>
    </row>
    <row r="5" spans="1:31" ht="13.5" thickBot="1" x14ac:dyDescent="0.45">
      <c r="A5" s="18" t="s">
        <v>4</v>
      </c>
      <c r="B5" s="1">
        <v>4</v>
      </c>
      <c r="F5" s="15"/>
      <c r="G5" s="58" t="s">
        <v>6</v>
      </c>
      <c r="H5" s="17"/>
      <c r="J5" s="15"/>
      <c r="K5" s="58" t="s">
        <v>23</v>
      </c>
      <c r="L5" s="17"/>
      <c r="N5" s="15"/>
      <c r="O5" s="58" t="s">
        <v>24</v>
      </c>
      <c r="P5" s="17"/>
      <c r="R5" s="15"/>
      <c r="S5" s="58" t="s">
        <v>25</v>
      </c>
      <c r="T5" s="17"/>
      <c r="V5" s="44">
        <v>4</v>
      </c>
      <c r="W5" s="44">
        <v>3.98</v>
      </c>
    </row>
    <row r="6" spans="1:31" ht="13.5" thickBot="1" x14ac:dyDescent="0.45">
      <c r="A6" s="14"/>
      <c r="B6" s="3"/>
      <c r="D6" s="19" t="s">
        <v>7</v>
      </c>
      <c r="E6" s="20"/>
      <c r="F6" s="21"/>
      <c r="G6" s="59"/>
      <c r="H6" s="17"/>
      <c r="I6" s="20"/>
      <c r="J6" s="21"/>
      <c r="K6" s="59"/>
      <c r="L6" s="17"/>
      <c r="M6" s="20"/>
      <c r="N6" s="21"/>
      <c r="O6" s="59"/>
      <c r="P6" s="17"/>
      <c r="Q6" s="20"/>
      <c r="R6" s="21"/>
      <c r="S6" s="59"/>
      <c r="T6" s="17"/>
      <c r="U6" s="20"/>
      <c r="V6" s="45">
        <v>5</v>
      </c>
      <c r="W6" s="44">
        <v>4.2</v>
      </c>
    </row>
    <row r="7" spans="1:31" ht="13.5" thickBot="1" x14ac:dyDescent="0.45">
      <c r="A7" s="18" t="s">
        <v>5</v>
      </c>
      <c r="B7" s="1">
        <v>100</v>
      </c>
      <c r="D7" s="22">
        <v>1</v>
      </c>
      <c r="E7" s="22"/>
      <c r="F7" s="23"/>
      <c r="G7" s="5">
        <v>91</v>
      </c>
      <c r="H7" s="17"/>
      <c r="I7" s="22"/>
      <c r="J7" s="23"/>
      <c r="K7" s="5">
        <v>77</v>
      </c>
      <c r="L7" s="17"/>
      <c r="M7" s="22"/>
      <c r="N7" s="23"/>
      <c r="O7" s="5">
        <v>80</v>
      </c>
      <c r="P7" s="17"/>
      <c r="Q7" s="22"/>
      <c r="R7" s="23"/>
      <c r="S7" s="5"/>
      <c r="T7" s="17"/>
      <c r="U7" s="22"/>
      <c r="V7" s="45">
        <v>6</v>
      </c>
      <c r="W7" s="44">
        <v>4.3600000000000003</v>
      </c>
    </row>
    <row r="8" spans="1:31" ht="13.15" x14ac:dyDescent="0.4">
      <c r="A8" s="14"/>
      <c r="D8" s="22">
        <v>2</v>
      </c>
      <c r="E8" s="22"/>
      <c r="F8" s="23"/>
      <c r="G8" s="6">
        <v>88</v>
      </c>
      <c r="H8" s="17"/>
      <c r="I8" s="22"/>
      <c r="J8" s="23"/>
      <c r="K8" s="6">
        <v>79</v>
      </c>
      <c r="L8" s="17"/>
      <c r="M8" s="22"/>
      <c r="N8" s="23"/>
      <c r="O8" s="6">
        <v>82</v>
      </c>
      <c r="P8" s="17"/>
      <c r="Q8" s="22"/>
      <c r="R8" s="23"/>
      <c r="S8" s="6"/>
      <c r="T8" s="17"/>
      <c r="U8" s="22"/>
      <c r="V8" s="45">
        <v>7</v>
      </c>
      <c r="W8" s="44">
        <v>4.49</v>
      </c>
    </row>
    <row r="9" spans="1:31" ht="13.5" thickBot="1" x14ac:dyDescent="0.45">
      <c r="A9" s="2" t="s">
        <v>42</v>
      </c>
      <c r="B9" s="24"/>
      <c r="D9" s="22">
        <v>3</v>
      </c>
      <c r="E9" s="22"/>
      <c r="F9" s="23"/>
      <c r="G9" s="6">
        <v>74</v>
      </c>
      <c r="H9" s="17"/>
      <c r="I9" s="22"/>
      <c r="J9" s="23"/>
      <c r="K9" s="6">
        <v>83</v>
      </c>
      <c r="L9" s="17"/>
      <c r="M9" s="22"/>
      <c r="N9" s="23"/>
      <c r="O9" s="6">
        <v>82</v>
      </c>
      <c r="P9" s="17"/>
      <c r="Q9" s="22"/>
      <c r="R9" s="23"/>
      <c r="S9" s="6"/>
      <c r="T9" s="17"/>
      <c r="U9" s="22"/>
      <c r="V9" s="45">
        <v>8</v>
      </c>
      <c r="W9" s="44">
        <v>4.5999999999999996</v>
      </c>
      <c r="Z9" s="46"/>
      <c r="AA9" s="47" t="s">
        <v>0</v>
      </c>
      <c r="AB9" s="48"/>
    </row>
    <row r="10" spans="1:31" ht="13.5" thickBot="1" x14ac:dyDescent="0.45">
      <c r="A10" s="25">
        <f>IF(AA42=TRUE,"",AB41)</f>
        <v>82</v>
      </c>
      <c r="B10" s="2"/>
      <c r="D10" s="22">
        <v>4</v>
      </c>
      <c r="E10" s="22"/>
      <c r="F10" s="23"/>
      <c r="G10" s="6">
        <v>89</v>
      </c>
      <c r="H10" s="17"/>
      <c r="I10" s="22"/>
      <c r="J10" s="23"/>
      <c r="K10" s="6">
        <v>78</v>
      </c>
      <c r="L10" s="17"/>
      <c r="M10" s="22"/>
      <c r="N10" s="23"/>
      <c r="O10" s="6">
        <v>81</v>
      </c>
      <c r="P10" s="17"/>
      <c r="Q10" s="22"/>
      <c r="R10" s="23"/>
      <c r="S10" s="6"/>
      <c r="T10" s="17"/>
      <c r="U10" s="22"/>
      <c r="V10" s="45">
        <v>9</v>
      </c>
      <c r="W10" s="44">
        <v>4.7</v>
      </c>
      <c r="Z10" s="46"/>
      <c r="AA10" s="48"/>
      <c r="AB10" s="47" t="s">
        <v>8</v>
      </c>
      <c r="AC10" s="47" t="s">
        <v>20</v>
      </c>
      <c r="AD10" s="47" t="s">
        <v>21</v>
      </c>
      <c r="AE10" s="47" t="s">
        <v>22</v>
      </c>
    </row>
    <row r="11" spans="1:31" ht="13.15" x14ac:dyDescent="0.4">
      <c r="A11" s="26"/>
      <c r="B11" s="3"/>
      <c r="D11" s="22">
        <v>5</v>
      </c>
      <c r="E11" s="22"/>
      <c r="F11" s="23"/>
      <c r="G11" s="6"/>
      <c r="H11" s="17"/>
      <c r="I11" s="22"/>
      <c r="J11" s="23"/>
      <c r="K11" s="6"/>
      <c r="L11" s="17"/>
      <c r="M11" s="22"/>
      <c r="N11" s="23"/>
      <c r="O11" s="6"/>
      <c r="P11" s="17"/>
      <c r="Q11" s="22"/>
      <c r="R11" s="23"/>
      <c r="S11" s="6"/>
      <c r="T11" s="17"/>
      <c r="U11" s="22"/>
      <c r="V11" s="45">
        <v>10</v>
      </c>
      <c r="W11" s="44">
        <v>4.78</v>
      </c>
      <c r="Z11" s="46"/>
      <c r="AA11" s="48" t="s">
        <v>9</v>
      </c>
      <c r="AB11" s="49">
        <f>COUNT(G7:G14)</f>
        <v>4</v>
      </c>
      <c r="AC11" s="49">
        <f>COUNT(K7:K14)</f>
        <v>4</v>
      </c>
      <c r="AD11" s="49">
        <f>COUNT(O7:O14)</f>
        <v>4</v>
      </c>
      <c r="AE11" s="49">
        <f>COUNT(S7:S14)</f>
        <v>0</v>
      </c>
    </row>
    <row r="12" spans="1:31" ht="13.5" thickBot="1" x14ac:dyDescent="0.45">
      <c r="A12" s="26"/>
      <c r="B12" s="2"/>
      <c r="D12" s="22">
        <v>6</v>
      </c>
      <c r="E12" s="22"/>
      <c r="F12" s="23"/>
      <c r="G12" s="6"/>
      <c r="H12" s="17"/>
      <c r="I12" s="22"/>
      <c r="J12" s="23"/>
      <c r="K12" s="6"/>
      <c r="L12" s="17"/>
      <c r="M12" s="22"/>
      <c r="N12" s="23"/>
      <c r="O12" s="6"/>
      <c r="P12" s="17"/>
      <c r="Q12" s="22"/>
      <c r="R12" s="23"/>
      <c r="S12" s="6"/>
      <c r="T12" s="17"/>
      <c r="U12" s="22"/>
      <c r="V12" s="50"/>
      <c r="W12" s="51"/>
      <c r="X12" s="51"/>
      <c r="Y12" s="51"/>
      <c r="Z12" s="46" t="s">
        <v>14</v>
      </c>
      <c r="AA12" s="48" t="s">
        <v>13</v>
      </c>
      <c r="AB12" s="48"/>
      <c r="AC12" s="48"/>
      <c r="AD12" s="48"/>
      <c r="AE12" s="48"/>
    </row>
    <row r="13" spans="1:31" ht="13.5" thickBot="1" x14ac:dyDescent="0.45">
      <c r="A13" s="54" t="s">
        <v>43</v>
      </c>
      <c r="B13" s="55"/>
      <c r="D13" s="22">
        <v>7</v>
      </c>
      <c r="E13" s="22"/>
      <c r="F13" s="23"/>
      <c r="G13" s="6"/>
      <c r="H13" s="17"/>
      <c r="I13" s="22"/>
      <c r="J13" s="23"/>
      <c r="K13" s="6"/>
      <c r="L13" s="17"/>
      <c r="M13" s="22"/>
      <c r="N13" s="23"/>
      <c r="O13" s="6"/>
      <c r="P13" s="17"/>
      <c r="Q13" s="22"/>
      <c r="R13" s="23"/>
      <c r="S13" s="6"/>
      <c r="T13" s="17"/>
      <c r="U13" s="22"/>
      <c r="V13" s="50"/>
      <c r="W13" s="51"/>
      <c r="X13" s="51"/>
      <c r="Y13" s="51"/>
      <c r="Z13" s="46">
        <v>1</v>
      </c>
      <c r="AA13" s="48"/>
      <c r="AB13" s="48">
        <f>IF($G7="","",100*$G7/$B$7)</f>
        <v>91</v>
      </c>
      <c r="AC13" s="48">
        <f>IF($K7="","",100*$K7/$B$7)</f>
        <v>77</v>
      </c>
      <c r="AD13" s="48">
        <f>IF($O7="","",100*$O7/$B$7)</f>
        <v>80</v>
      </c>
      <c r="AE13" s="48" t="str">
        <f>IF($S7="","",100*$S7/$B$7)</f>
        <v/>
      </c>
    </row>
    <row r="14" spans="1:31" ht="13.5" thickBot="1" x14ac:dyDescent="0.45">
      <c r="A14" s="26"/>
      <c r="B14" s="2"/>
      <c r="D14" s="22">
        <v>8</v>
      </c>
      <c r="E14" s="22"/>
      <c r="F14" s="23"/>
      <c r="G14" s="7"/>
      <c r="H14" s="17"/>
      <c r="I14" s="22"/>
      <c r="J14" s="23"/>
      <c r="K14" s="7"/>
      <c r="L14" s="17"/>
      <c r="M14" s="22"/>
      <c r="N14" s="23"/>
      <c r="O14" s="7"/>
      <c r="P14" s="17"/>
      <c r="Q14" s="22"/>
      <c r="R14" s="23"/>
      <c r="S14" s="7"/>
      <c r="T14" s="17"/>
      <c r="U14" s="22"/>
      <c r="V14" s="52"/>
      <c r="W14" s="52"/>
      <c r="X14" s="52"/>
      <c r="Y14" s="51"/>
      <c r="Z14" s="46">
        <v>2</v>
      </c>
      <c r="AA14" s="48"/>
      <c r="AB14" s="48">
        <f t="shared" ref="AB14:AB20" si="0">IF($G8="","",100*$G8/$B$7)</f>
        <v>88</v>
      </c>
      <c r="AC14" s="48">
        <f t="shared" ref="AC14:AC20" si="1">IF($K8="","",100*$K8/$B$7)</f>
        <v>79</v>
      </c>
      <c r="AD14" s="48">
        <f t="shared" ref="AD14:AD20" si="2">IF($O8="","",100*$O8/$B$7)</f>
        <v>82</v>
      </c>
      <c r="AE14" s="48" t="str">
        <f t="shared" ref="AE14:AE20" si="3">IF($S8="","",100*$S8/$B$7)</f>
        <v/>
      </c>
    </row>
    <row r="15" spans="1:31" ht="13.5" thickBot="1" x14ac:dyDescent="0.45">
      <c r="A15" s="26"/>
      <c r="B15" s="2"/>
      <c r="F15" s="15"/>
      <c r="G15" s="27"/>
      <c r="H15" s="17"/>
      <c r="J15" s="15"/>
      <c r="K15" s="27"/>
      <c r="L15" s="17"/>
      <c r="N15" s="15"/>
      <c r="O15" s="27"/>
      <c r="P15" s="17"/>
      <c r="R15" s="15"/>
      <c r="S15" s="27"/>
      <c r="T15" s="17"/>
      <c r="U15" s="22"/>
      <c r="V15" s="52"/>
      <c r="W15" s="52"/>
      <c r="X15" s="52"/>
      <c r="Y15" s="51"/>
      <c r="Z15" s="46">
        <v>3</v>
      </c>
      <c r="AA15" s="53"/>
      <c r="AB15" s="48">
        <f t="shared" si="0"/>
        <v>74</v>
      </c>
      <c r="AC15" s="48">
        <f t="shared" si="1"/>
        <v>83</v>
      </c>
      <c r="AD15" s="48">
        <f t="shared" si="2"/>
        <v>82</v>
      </c>
      <c r="AE15" s="48" t="str">
        <f t="shared" si="3"/>
        <v/>
      </c>
    </row>
    <row r="16" spans="1:31" ht="13.5" thickBot="1" x14ac:dyDescent="0.45">
      <c r="A16" s="26"/>
      <c r="B16" s="2"/>
      <c r="D16" s="28" t="s">
        <v>10</v>
      </c>
      <c r="E16" s="20"/>
      <c r="F16" s="15"/>
      <c r="G16" s="25">
        <f>AB21</f>
        <v>86</v>
      </c>
      <c r="H16" s="17"/>
      <c r="I16" s="20"/>
      <c r="J16" s="15"/>
      <c r="K16" s="25">
        <f>AC21</f>
        <v>79</v>
      </c>
      <c r="L16" s="17"/>
      <c r="M16" s="20"/>
      <c r="N16" s="15"/>
      <c r="O16" s="25">
        <f>AD21</f>
        <v>81</v>
      </c>
      <c r="P16" s="17"/>
      <c r="Q16" s="20"/>
      <c r="R16" s="15"/>
      <c r="S16" s="25" t="str">
        <f>AE21</f>
        <v/>
      </c>
      <c r="T16" s="17"/>
      <c r="U16" s="22"/>
      <c r="V16" s="52"/>
      <c r="W16" s="52"/>
      <c r="X16" s="52"/>
      <c r="Y16" s="51"/>
      <c r="Z16" s="46">
        <v>4</v>
      </c>
      <c r="AA16" s="48"/>
      <c r="AB16" s="48">
        <f t="shared" si="0"/>
        <v>89</v>
      </c>
      <c r="AC16" s="48">
        <f t="shared" si="1"/>
        <v>78</v>
      </c>
      <c r="AD16" s="48">
        <f t="shared" si="2"/>
        <v>81</v>
      </c>
      <c r="AE16" s="48" t="str">
        <f t="shared" si="3"/>
        <v/>
      </c>
    </row>
    <row r="17" spans="1:37" ht="13.5" thickBot="1" x14ac:dyDescent="0.45">
      <c r="A17" s="26"/>
      <c r="B17" s="2"/>
      <c r="D17" s="28"/>
      <c r="F17" s="15"/>
      <c r="G17" s="29"/>
      <c r="H17" s="17"/>
      <c r="J17" s="15"/>
      <c r="K17" s="29"/>
      <c r="L17" s="17"/>
      <c r="N17" s="15"/>
      <c r="O17" s="29"/>
      <c r="P17" s="17"/>
      <c r="R17" s="15"/>
      <c r="S17" s="29"/>
      <c r="T17" s="17"/>
      <c r="U17" s="22"/>
      <c r="V17" s="52"/>
      <c r="W17" s="52"/>
      <c r="X17" s="52"/>
      <c r="Y17" s="51"/>
      <c r="Z17" s="46">
        <v>5</v>
      </c>
      <c r="AA17" s="48"/>
      <c r="AB17" s="48" t="str">
        <f t="shared" si="0"/>
        <v/>
      </c>
      <c r="AC17" s="48" t="str">
        <f t="shared" si="1"/>
        <v/>
      </c>
      <c r="AD17" s="48" t="str">
        <f t="shared" si="2"/>
        <v/>
      </c>
      <c r="AE17" s="48" t="str">
        <f t="shared" si="3"/>
        <v/>
      </c>
    </row>
    <row r="18" spans="1:37" ht="13.5" thickBot="1" x14ac:dyDescent="0.45">
      <c r="A18" s="26"/>
      <c r="B18" s="2"/>
      <c r="C18" s="2"/>
      <c r="D18" s="2" t="s">
        <v>11</v>
      </c>
      <c r="E18" s="2"/>
      <c r="F18" s="30"/>
      <c r="G18" s="25">
        <f>AC27</f>
        <v>17</v>
      </c>
      <c r="H18" s="31"/>
      <c r="I18" s="2"/>
      <c r="J18" s="30"/>
      <c r="K18" s="2"/>
      <c r="L18" s="31"/>
      <c r="M18" s="2"/>
      <c r="N18" s="30"/>
      <c r="O18" s="2"/>
      <c r="P18" s="31"/>
      <c r="Q18" s="2"/>
      <c r="R18" s="30"/>
      <c r="S18" s="2"/>
      <c r="T18" s="31"/>
      <c r="U18" s="22"/>
      <c r="V18" s="52"/>
      <c r="W18" s="52"/>
      <c r="X18" s="52"/>
      <c r="Y18" s="51"/>
      <c r="Z18" s="46">
        <v>6</v>
      </c>
      <c r="AA18" s="48"/>
      <c r="AB18" s="48" t="str">
        <f t="shared" si="0"/>
        <v/>
      </c>
      <c r="AC18" s="48" t="str">
        <f t="shared" si="1"/>
        <v/>
      </c>
      <c r="AD18" s="48" t="str">
        <f t="shared" si="2"/>
        <v/>
      </c>
      <c r="AE18" s="48" t="str">
        <f t="shared" si="3"/>
        <v/>
      </c>
    </row>
    <row r="19" spans="1:37" ht="13.5" thickBot="1" x14ac:dyDescent="0.45">
      <c r="A19" s="26"/>
      <c r="B19" s="2"/>
      <c r="C19" s="2"/>
      <c r="D19" s="2"/>
      <c r="E19" s="2"/>
      <c r="F19" s="30"/>
      <c r="G19" s="2"/>
      <c r="H19" s="31"/>
      <c r="I19" s="2"/>
      <c r="J19" s="30"/>
      <c r="K19" s="2"/>
      <c r="L19" s="31"/>
      <c r="M19" s="2"/>
      <c r="N19" s="30"/>
      <c r="O19" s="2"/>
      <c r="P19" s="31"/>
      <c r="Q19" s="2"/>
      <c r="R19" s="30"/>
      <c r="S19" s="2"/>
      <c r="T19" s="31"/>
      <c r="U19" s="22"/>
      <c r="V19" s="45"/>
      <c r="W19" s="45"/>
      <c r="X19" s="45"/>
      <c r="Y19" s="45"/>
      <c r="Z19" s="46">
        <v>7</v>
      </c>
      <c r="AA19" s="48"/>
      <c r="AB19" s="48" t="str">
        <f t="shared" si="0"/>
        <v/>
      </c>
      <c r="AC19" s="48" t="str">
        <f t="shared" si="1"/>
        <v/>
      </c>
      <c r="AD19" s="48" t="str">
        <f t="shared" si="2"/>
        <v/>
      </c>
      <c r="AE19" s="48" t="str">
        <f t="shared" si="3"/>
        <v/>
      </c>
    </row>
    <row r="20" spans="1:37" ht="13.5" thickBot="1" x14ac:dyDescent="0.45">
      <c r="A20" s="26"/>
      <c r="B20" s="4"/>
      <c r="D20" s="28" t="s">
        <v>12</v>
      </c>
      <c r="E20" s="20"/>
      <c r="F20" s="15"/>
      <c r="G20" s="25">
        <f>AE27</f>
        <v>14</v>
      </c>
      <c r="H20" s="17"/>
      <c r="I20" s="20"/>
      <c r="J20" s="15"/>
      <c r="K20" s="2"/>
      <c r="L20" s="17"/>
      <c r="M20" s="20"/>
      <c r="N20" s="15"/>
      <c r="O20" s="2"/>
      <c r="P20" s="17"/>
      <c r="Q20" s="20"/>
      <c r="R20" s="15"/>
      <c r="S20" s="2"/>
      <c r="T20" s="17"/>
      <c r="U20" s="22"/>
      <c r="V20" s="45"/>
      <c r="W20" s="45"/>
      <c r="X20" s="45"/>
      <c r="Y20" s="45"/>
      <c r="Z20" s="46">
        <v>8</v>
      </c>
      <c r="AA20" s="48"/>
      <c r="AB20" s="48" t="str">
        <f t="shared" si="0"/>
        <v/>
      </c>
      <c r="AC20" s="48" t="str">
        <f t="shared" si="1"/>
        <v/>
      </c>
      <c r="AD20" s="48" t="str">
        <f t="shared" si="2"/>
        <v/>
      </c>
      <c r="AE20" s="48" t="str">
        <f t="shared" si="3"/>
        <v/>
      </c>
    </row>
    <row r="21" spans="1:37" ht="13.5" thickBot="1" x14ac:dyDescent="0.45">
      <c r="A21" s="26"/>
      <c r="B21" s="4"/>
      <c r="D21" s="28"/>
      <c r="F21" s="15"/>
      <c r="G21" s="29"/>
      <c r="H21" s="17"/>
      <c r="J21" s="15"/>
      <c r="K21" s="2"/>
      <c r="L21" s="17"/>
      <c r="N21" s="15"/>
      <c r="O21" s="2"/>
      <c r="P21" s="17"/>
      <c r="R21" s="15"/>
      <c r="S21" s="2"/>
      <c r="T21" s="17"/>
      <c r="U21" s="22"/>
      <c r="V21" s="46"/>
      <c r="W21" s="46"/>
      <c r="X21" s="46"/>
      <c r="Y21" s="46"/>
      <c r="Z21" s="46"/>
      <c r="AA21" s="48" t="s">
        <v>15</v>
      </c>
      <c r="AB21" s="48">
        <f>IF(AB11=0,"",ROUND(AVERAGE(AB13:AB20),0))</f>
        <v>86</v>
      </c>
      <c r="AC21" s="48">
        <f>IF(AC11=0,"",ROUND(AVERAGE(AC13:AC20),0))</f>
        <v>79</v>
      </c>
      <c r="AD21" s="48">
        <f>IF(AD11=0,"",ROUND(AVERAGE(AD13:AD20),0))</f>
        <v>81</v>
      </c>
      <c r="AE21" s="48" t="str">
        <f>IF(AE11=0,"",ROUND(AVERAGE(AE13:AE20),0))</f>
        <v/>
      </c>
    </row>
    <row r="22" spans="1:37" ht="13.5" thickBot="1" x14ac:dyDescent="0.45">
      <c r="A22" s="32"/>
      <c r="B22" s="4"/>
      <c r="D22" s="28" t="s">
        <v>19</v>
      </c>
      <c r="F22" s="15"/>
      <c r="G22" s="25" t="str">
        <f>IF(AF27="no","",IF(AF27="next","Retest","OK"))</f>
        <v>Retest</v>
      </c>
      <c r="H22" s="17"/>
      <c r="J22" s="15"/>
      <c r="K22" s="25" t="str">
        <f>IF(AF27="no","",IF(AF28="no","",IF(AF28="next","Retest",IF(AF28="ok","Average "&amp;AA41,"No need for retest"))))</f>
        <v>Retest</v>
      </c>
      <c r="L22" s="17"/>
      <c r="N22" s="15"/>
      <c r="O22" s="25" t="str">
        <f>IF(AF27="no","",IF(AF28="no","",IF(AF29="no","",IF(AG28="","No need for retest",IF(AG31="next","Retest","Average "&amp;AA41)))))</f>
        <v>Average 1&amp;2&amp;3</v>
      </c>
      <c r="P22" s="17"/>
      <c r="R22" s="15"/>
      <c r="S22" s="25" t="str">
        <f>IF(AF27="no","",IF(AF28="no","",IF(AF29="no","",IF(AF32="no","",IF(AG31="","No need for retest",IF(AG38="next","No results reported","Average "&amp;AA41))))))</f>
        <v/>
      </c>
      <c r="T22" s="17"/>
      <c r="U22" s="22"/>
      <c r="V22" s="46"/>
      <c r="W22" s="46"/>
      <c r="X22" s="46"/>
      <c r="Y22" s="46"/>
      <c r="Z22" s="46"/>
      <c r="AA22" s="48"/>
      <c r="AB22" s="48"/>
      <c r="AC22" s="48"/>
      <c r="AD22" s="48"/>
      <c r="AE22" s="48"/>
    </row>
    <row r="23" spans="1:37" ht="6" customHeight="1" thickBot="1" x14ac:dyDescent="0.45">
      <c r="A23" s="2"/>
      <c r="B23" s="4"/>
      <c r="F23" s="33"/>
      <c r="G23" s="34"/>
      <c r="H23" s="35"/>
      <c r="J23" s="33"/>
      <c r="K23" s="34"/>
      <c r="L23" s="35"/>
      <c r="N23" s="33"/>
      <c r="O23" s="34"/>
      <c r="P23" s="35"/>
      <c r="R23" s="33"/>
      <c r="S23" s="34"/>
      <c r="T23" s="35"/>
      <c r="U23" s="22"/>
      <c r="V23" s="46"/>
      <c r="W23" s="46"/>
      <c r="X23" s="46"/>
      <c r="Y23" s="46"/>
      <c r="Z23" s="46"/>
      <c r="AA23" s="48"/>
      <c r="AB23" s="48"/>
      <c r="AC23" s="48"/>
      <c r="AD23" s="48"/>
      <c r="AE23" s="48"/>
    </row>
    <row r="24" spans="1:37" x14ac:dyDescent="0.35">
      <c r="A24" s="3"/>
      <c r="B24" s="36"/>
      <c r="U24" s="22"/>
      <c r="V24" s="46"/>
      <c r="W24" s="46"/>
      <c r="X24" s="46"/>
      <c r="Y24" s="46"/>
      <c r="Z24" s="46"/>
      <c r="AA24" s="48"/>
      <c r="AB24" s="48"/>
      <c r="AC24" s="48"/>
      <c r="AD24" s="48"/>
      <c r="AE24" s="48"/>
    </row>
    <row r="25" spans="1:37" ht="13.15" x14ac:dyDescent="0.4">
      <c r="A25" s="2"/>
      <c r="B25" s="4"/>
      <c r="D25" s="18"/>
      <c r="G25" s="20"/>
      <c r="U25" s="22"/>
      <c r="V25" s="46"/>
      <c r="W25" s="46"/>
      <c r="X25" s="46"/>
      <c r="Y25" s="46"/>
      <c r="Z25" s="46"/>
      <c r="AA25" s="48"/>
      <c r="AB25" s="44"/>
      <c r="AC25" s="44"/>
      <c r="AD25" s="44"/>
      <c r="AE25" s="44"/>
    </row>
    <row r="26" spans="1:37" ht="13.15" x14ac:dyDescent="0.4">
      <c r="A26" s="2"/>
      <c r="B26" s="4"/>
      <c r="D26" s="18"/>
      <c r="G26" s="28" t="str">
        <f>IF(G22="Retest","Average","")</f>
        <v>Average</v>
      </c>
      <c r="H26" s="28"/>
      <c r="I26" s="28"/>
      <c r="J26" s="28"/>
      <c r="K26" s="28" t="str">
        <f>IF(G22="Retest","Observed range","")</f>
        <v>Observed range</v>
      </c>
      <c r="L26" s="28"/>
      <c r="M26" s="28"/>
      <c r="N26" s="28"/>
      <c r="O26" s="28" t="str">
        <f>IF(G22="Retest","Tolerance","")</f>
        <v>Tolerance</v>
      </c>
      <c r="P26" s="28"/>
      <c r="Q26" s="28"/>
      <c r="R26" s="28"/>
      <c r="S26" s="28" t="str">
        <f>IF(G22="Retest","Comment","")</f>
        <v>Comment</v>
      </c>
      <c r="T26" s="28"/>
      <c r="U26" s="22"/>
      <c r="V26" s="46"/>
      <c r="W26" s="46"/>
      <c r="X26" s="46"/>
      <c r="Y26" s="46"/>
      <c r="Z26" s="46"/>
      <c r="AA26" s="45"/>
      <c r="AB26" s="45" t="s">
        <v>15</v>
      </c>
      <c r="AC26" s="42" t="s">
        <v>37</v>
      </c>
      <c r="AD26" s="42" t="s">
        <v>38</v>
      </c>
      <c r="AE26" s="42" t="s">
        <v>16</v>
      </c>
      <c r="AF26" s="42" t="s">
        <v>39</v>
      </c>
      <c r="AG26" s="42" t="s">
        <v>40</v>
      </c>
    </row>
    <row r="27" spans="1:37" ht="13.15" x14ac:dyDescent="0.4">
      <c r="A27" s="2"/>
      <c r="B27" s="4"/>
      <c r="D27" s="18"/>
      <c r="U27" s="22"/>
      <c r="V27" s="46"/>
      <c r="W27" s="46"/>
      <c r="X27" s="46"/>
      <c r="Y27" s="46"/>
      <c r="Z27" s="46"/>
      <c r="AA27" s="45">
        <v>1</v>
      </c>
      <c r="AB27" s="45">
        <f>AB21</f>
        <v>86</v>
      </c>
      <c r="AC27" s="42">
        <f>IF(AB11&lt;2,"",MAX(AB13:AB20)-MIN(AB13:AB20))</f>
        <v>17</v>
      </c>
      <c r="AD27" s="44">
        <f>IF(AB11&lt;2,"",VLOOKUP(AB11,V3:W11,2))</f>
        <v>3.98</v>
      </c>
      <c r="AE27" s="45">
        <f>IF(AB11&lt;2,"",IF(AB27&gt;50,FLOOR(ROUND(AD27*SQRT((ROUND(AB27,0)-0.5)*(100-ROUND(AB27,0)+0.5)/($B$7))+0.2,2),1),FLOOR(ROUND(AD27*SQRT((101-ROUND(AB27,0)-0.5)*(ROUND(AB27,0)-0.5)/($B$7))+0.2,2),1)))</f>
        <v>14</v>
      </c>
      <c r="AF27" s="42" t="str">
        <f>IF(AB11&lt;2,"no",IF(AC27&gt;AE27,"next","ok"))</f>
        <v>next</v>
      </c>
      <c r="AH27" s="45">
        <v>1</v>
      </c>
      <c r="AI27" s="45">
        <f>AB21</f>
        <v>86</v>
      </c>
      <c r="AJ27" s="42" t="str">
        <f>IF(AF27="ok",AI27,"")</f>
        <v/>
      </c>
      <c r="AK27" s="45">
        <v>1</v>
      </c>
    </row>
    <row r="28" spans="1:37" ht="13.15" x14ac:dyDescent="0.4">
      <c r="A28" s="2"/>
      <c r="B28" s="4"/>
      <c r="D28" s="18" t="str">
        <f>IF(AF27="no","",IF(AF28="no","",IF($G22="Retest","Test 1 &amp; Test 2","")))</f>
        <v>Test 1 &amp; Test 2</v>
      </c>
      <c r="G28" s="28">
        <f>IF($G22="Retest",AB28,"")</f>
        <v>83</v>
      </c>
      <c r="H28" s="22"/>
      <c r="I28" s="22"/>
      <c r="J28" s="22"/>
      <c r="K28" s="28">
        <f>IF($G22="Retest",AC28,"")</f>
        <v>7</v>
      </c>
      <c r="L28" s="22"/>
      <c r="M28" s="22"/>
      <c r="N28" s="22"/>
      <c r="O28" s="28">
        <f>IF($G22="Retest",AE28,"")</f>
        <v>6</v>
      </c>
      <c r="S28" s="28" t="str">
        <f>IF(AF27="no","",IF(AF28="no","",IF($G22="Retest",IF(K28&gt;O28,"Out of tolerance","OK"),"")))</f>
        <v>Out of tolerance</v>
      </c>
      <c r="U28" s="22"/>
      <c r="V28" s="46"/>
      <c r="W28" s="46"/>
      <c r="X28" s="46"/>
      <c r="Y28" s="46"/>
      <c r="Z28" s="46"/>
      <c r="AA28" s="46" t="s">
        <v>26</v>
      </c>
      <c r="AB28" s="48">
        <f>IF(AC11=0,"",ROUND(AVERAGE(AB21:AC21),0))</f>
        <v>83</v>
      </c>
      <c r="AC28" s="42">
        <f>IF(AC11=0,"",MAX(AB21:AC21)-MIN(AB21:AC21))</f>
        <v>7</v>
      </c>
      <c r="AD28" s="44">
        <f>IF(AC11=0,"",VLOOKUP(2,V3:W11,2))</f>
        <v>3.17</v>
      </c>
      <c r="AE28" s="45">
        <f>IF(AC11=0,"",IF(AB28&gt;50,FLOOR(ROUND(AD28*SQRT((ROUND(AB28,0)-0.5)*(100-ROUND(AB28,0)+0.5)/($B$5*$B$7))+0.2,2),1),FLOOR(ROUND(AD28*SQRT((101-ROUND(AB28,0)-0.5)*(ROUND(AB28,0)-0.5)/($B$5*$B$7))+0.2,2),1)))</f>
        <v>6</v>
      </c>
      <c r="AF28" s="42" t="str">
        <f>IF(AC11=0,"no",IF(AF27="next",IF(AC28&gt;AE28,"next","ok"),""))</f>
        <v>next</v>
      </c>
      <c r="AG28" s="42" t="str">
        <f>IF(AF27="next",IF(AF28="next","next",""),"")</f>
        <v>next</v>
      </c>
      <c r="AH28" s="46" t="s">
        <v>26</v>
      </c>
      <c r="AI28" s="48">
        <f>ROUND(AVERAGE(AB21:AC21),0)</f>
        <v>83</v>
      </c>
      <c r="AJ28" s="42" t="str">
        <f t="shared" ref="AJ28:AJ38" si="4">IF(AF28="ok",AI28,"")</f>
        <v/>
      </c>
      <c r="AK28" s="46" t="s">
        <v>26</v>
      </c>
    </row>
    <row r="29" spans="1:37" ht="13.15" x14ac:dyDescent="0.4">
      <c r="A29" s="2"/>
      <c r="B29" s="2"/>
      <c r="D29" s="18"/>
      <c r="G29" s="28"/>
      <c r="H29" s="22"/>
      <c r="I29" s="22"/>
      <c r="J29" s="22"/>
      <c r="K29" s="28"/>
      <c r="L29" s="22"/>
      <c r="M29" s="22"/>
      <c r="N29" s="22"/>
      <c r="O29" s="28"/>
      <c r="S29" s="28"/>
      <c r="U29" s="22"/>
      <c r="V29" s="46"/>
      <c r="W29" s="46"/>
      <c r="X29" s="46"/>
      <c r="Y29" s="46"/>
      <c r="Z29" s="46"/>
      <c r="AA29" s="46" t="s">
        <v>27</v>
      </c>
      <c r="AB29" s="48">
        <f>IF(AD11=0,"",ROUND(AVERAGE(AB21:AD21),0))</f>
        <v>82</v>
      </c>
      <c r="AC29" s="42">
        <f>IF(AD11=0,"",MAX(AB21:AD21)-MIN(AB21:AD21))</f>
        <v>7</v>
      </c>
      <c r="AD29" s="44">
        <f>IF(AD11=0,"",VLOOKUP(3,V3:W11,2))</f>
        <v>3.68</v>
      </c>
      <c r="AE29" s="45">
        <f>IF(AD11=0,"",IF(AB29&gt;50,FLOOR(ROUND(AD29*SQRT((ROUND(AB29,0)-0.5)*(100-ROUND(AB29,0)+0.5)/($B$5*$B$7))+0.2,2),1),FLOOR(ROUND(AD29*SQRT((101-ROUND(AB29,0)-0.5)*(ROUND(AB29,0)-0.5)/($B$5*$B$7))+0.2,2),1)))</f>
        <v>7</v>
      </c>
      <c r="AF29" s="42" t="str">
        <f>IF(AD11=0,"no",IF(AF28="next",IF(AC29&gt;AE29,"next","ok"),""))</f>
        <v>ok</v>
      </c>
      <c r="AH29" s="46" t="s">
        <v>27</v>
      </c>
      <c r="AI29" s="48">
        <f>ROUND(AVERAGE(AB21:AD21),0)</f>
        <v>82</v>
      </c>
      <c r="AJ29" s="42">
        <f t="shared" si="4"/>
        <v>82</v>
      </c>
      <c r="AK29" s="46" t="s">
        <v>27</v>
      </c>
    </row>
    <row r="30" spans="1:37" ht="13.15" x14ac:dyDescent="0.4">
      <c r="A30" s="37"/>
      <c r="B30" s="3"/>
      <c r="C30" s="27"/>
      <c r="D30" s="18" t="str">
        <f>IF(AF27="no","",IF(AF28="no","",IF(AF29="no","",IF($D28="","",IF($K22="Retest","Test 1 &amp; Test 2 &amp; Test 3","")))))</f>
        <v>Test 1 &amp; Test 2 &amp; Test 3</v>
      </c>
      <c r="E30" s="27"/>
      <c r="F30" s="27"/>
      <c r="G30" s="28">
        <f>IF($D28="","",IF($K22="Retest",AB29,""))</f>
        <v>82</v>
      </c>
      <c r="H30" s="38"/>
      <c r="I30" s="38"/>
      <c r="J30" s="38"/>
      <c r="K30" s="28">
        <f>IF($D28="","",IF($K22="Retest",AC29,""))</f>
        <v>7</v>
      </c>
      <c r="L30" s="38"/>
      <c r="M30" s="38"/>
      <c r="N30" s="38"/>
      <c r="O30" s="28">
        <f>IF($D28="","",IF($K22="Retest",AE29,""))</f>
        <v>7</v>
      </c>
      <c r="P30" s="27"/>
      <c r="Q30" s="27"/>
      <c r="R30" s="27"/>
      <c r="S30" s="28" t="str">
        <f>IF(AF27="no","",IF(AF28="no","",IF(AF29="no","",IF($D28="","",IF($K22="Retest",IF(K30&gt;O30,"Out of tolerance","OK"),"")))))</f>
        <v>OK</v>
      </c>
      <c r="T30" s="27"/>
      <c r="U30" s="22"/>
      <c r="V30" s="46"/>
      <c r="W30" s="46"/>
      <c r="X30" s="46"/>
      <c r="Y30" s="46"/>
      <c r="Z30" s="41"/>
      <c r="AA30" s="46" t="s">
        <v>28</v>
      </c>
      <c r="AB30" s="48">
        <f>IF(AD11=0,"",ROUND(AVERAGE(AB21,AD21),0))</f>
        <v>84</v>
      </c>
      <c r="AC30" s="42">
        <f>IF(AD11=0,"",MAX(AB21,AD21)-MIN(AB21,AD21))</f>
        <v>5</v>
      </c>
      <c r="AD30" s="44">
        <f>IF(AD11=0,"",VLOOKUP(2,V3:W11,2))</f>
        <v>3.17</v>
      </c>
      <c r="AE30" s="45">
        <f>IF(AD11=0,"",IF(AB30&gt;50,FLOOR(ROUND(AD30*SQRT((ROUND(AB30,0)-0.5)*(100-ROUND(AB30,0)+0.5)/($B$5*$B$7))+0.2,2),1),FLOOR(ROUND(AD30*SQRT((101-ROUND(AB30,0)-0.5)*(ROUND(AB30,0)-0.5)/($B$5*$B$7))+0.2,2),1)))</f>
        <v>6</v>
      </c>
      <c r="AF30" s="42" t="str">
        <f>IF(AD11=0,"no",IF(AF29="next",IF(AC30&gt;AE30,"next","ok"),""))</f>
        <v/>
      </c>
      <c r="AH30" s="46" t="s">
        <v>28</v>
      </c>
      <c r="AI30" s="48">
        <f>ROUND(AVERAGE(AB21,AD21),0)</f>
        <v>84</v>
      </c>
      <c r="AJ30" s="42" t="str">
        <f t="shared" si="4"/>
        <v/>
      </c>
      <c r="AK30" s="46" t="s">
        <v>28</v>
      </c>
    </row>
    <row r="31" spans="1:37" ht="13.15" x14ac:dyDescent="0.4">
      <c r="A31" s="2"/>
      <c r="B31" s="24"/>
      <c r="C31" s="27"/>
      <c r="D31" s="18"/>
      <c r="E31" s="27"/>
      <c r="F31" s="27"/>
      <c r="G31" s="28"/>
      <c r="H31" s="38"/>
      <c r="I31" s="38"/>
      <c r="J31" s="38"/>
      <c r="K31" s="28"/>
      <c r="L31" s="38"/>
      <c r="M31" s="38"/>
      <c r="N31" s="38"/>
      <c r="O31" s="28"/>
      <c r="P31" s="27"/>
      <c r="Q31" s="27"/>
      <c r="R31" s="27"/>
      <c r="S31" s="28"/>
      <c r="T31" s="27"/>
      <c r="U31" s="22"/>
      <c r="V31" s="46"/>
      <c r="W31" s="46"/>
      <c r="X31" s="46"/>
      <c r="Y31" s="46"/>
      <c r="Z31" s="41"/>
      <c r="AA31" s="46" t="s">
        <v>29</v>
      </c>
      <c r="AB31" s="48">
        <f>IF(AD11=0,"",ROUND(AVERAGE(AC21:AD21),0))</f>
        <v>80</v>
      </c>
      <c r="AC31" s="42">
        <f>IF(AD11=0,"",MAX(AC21:AD21)-MIN(AC21:AD21))</f>
        <v>2</v>
      </c>
      <c r="AD31" s="44">
        <f>IF(AD11=0,"",VLOOKUP(2,V3:W11,2))</f>
        <v>3.17</v>
      </c>
      <c r="AE31" s="45">
        <f>IF(AD11=0,"",IF(AB31&gt;50,FLOOR(ROUND(AD31*SQRT((ROUND(AB31,0)-0.5)*(100-ROUND(AB31,0)+0.5)/($B$5*$B$7))+0.2,2),1),FLOOR(ROUND(AD31*SQRT((101-ROUND(AB31,0)-0.5)*(ROUND(AB31,0)-0.5)/($B$5*$B$7))+0.2,2),1)))</f>
        <v>6</v>
      </c>
      <c r="AF31" s="42" t="str">
        <f>IF(AD11=0,"no",IF(AF29="next",IF(AC31&gt;AE31,"next","ok"),""))</f>
        <v/>
      </c>
      <c r="AG31" s="42" t="str">
        <f>IF(AF30="next",IF(AF31="next","next",""),"")</f>
        <v/>
      </c>
      <c r="AH31" s="46" t="s">
        <v>29</v>
      </c>
      <c r="AI31" s="48">
        <f>ROUND(AVERAGE(AC21:AD21),0)</f>
        <v>80</v>
      </c>
      <c r="AJ31" s="42" t="str">
        <f t="shared" si="4"/>
        <v/>
      </c>
      <c r="AK31" s="46" t="s">
        <v>29</v>
      </c>
    </row>
    <row r="32" spans="1:37" ht="13.15" x14ac:dyDescent="0.4">
      <c r="A32" s="24"/>
      <c r="B32" s="24"/>
      <c r="C32" s="27"/>
      <c r="D32" s="18" t="str">
        <f>IF(AF27="no","",IF(AF28="no","",IF(AF29="no","",IF($D28="","",IF($K22="Retest","Test 1 &amp; Test 3","")))))</f>
        <v>Test 1 &amp; Test 3</v>
      </c>
      <c r="E32" s="27"/>
      <c r="F32" s="27"/>
      <c r="G32" s="28">
        <f>IF($D28="","",IF($K22="Retest",AB30,""))</f>
        <v>84</v>
      </c>
      <c r="H32" s="38"/>
      <c r="I32" s="38"/>
      <c r="J32" s="38"/>
      <c r="K32" s="28">
        <f>IF($D28="","",IF($K22="Retest",AC30,""))</f>
        <v>5</v>
      </c>
      <c r="L32" s="38"/>
      <c r="M32" s="38"/>
      <c r="N32" s="38"/>
      <c r="O32" s="28">
        <f>IF($D28="","",IF($K22="Retest",AE30,""))</f>
        <v>6</v>
      </c>
      <c r="P32" s="27"/>
      <c r="Q32" s="27"/>
      <c r="R32" s="27"/>
      <c r="S32" s="28" t="str">
        <f>IF(AF27="no","",IF(AF28="no","",IF(AF29="no","",IF($D28="","",IF($K22="Retest",IF(K32&gt;O32,"Out of tolerance","OK"),"")))))</f>
        <v>OK</v>
      </c>
      <c r="T32" s="27"/>
      <c r="U32" s="22"/>
      <c r="V32" s="46"/>
      <c r="W32" s="46"/>
      <c r="X32" s="46"/>
      <c r="Y32" s="46"/>
      <c r="Z32" s="41"/>
      <c r="AA32" s="46" t="s">
        <v>30</v>
      </c>
      <c r="AB32" s="48" t="str">
        <f>IF(AE11=0,"",ROUND(AVERAGE(AB21:AE21),0))</f>
        <v/>
      </c>
      <c r="AC32" s="42" t="str">
        <f>IF(AE11=0,"",MAX(AB21:AE21)-MIN(AB21:AE21))</f>
        <v/>
      </c>
      <c r="AD32" s="44" t="str">
        <f>IF(AE11=0,"",VLOOKUP(4,V3:W11,2))</f>
        <v/>
      </c>
      <c r="AE32" s="45" t="str">
        <f>IF(AE11=0,"",IF(AB32&gt;50,FLOOR(ROUND(AD32*SQRT((ROUND(AB32,0)-0.5)*(100-ROUND(AB32,0)+0.5)/($B$5*$B$7))+0.2,2),1),FLOOR(ROUND(AD32*SQRT((101-ROUND(AB32,0)-0.5)*(ROUND(AB32,0)-0.5)/($B$5*$B$7))+0.2,2),1)))</f>
        <v/>
      </c>
      <c r="AF32" s="42" t="str">
        <f>IF(AE11=0,"no",IF(AG31="next",IF(AC32&gt;AE32,"next","ok"),""))</f>
        <v>no</v>
      </c>
      <c r="AH32" s="46" t="s">
        <v>30</v>
      </c>
      <c r="AI32" s="48">
        <f>ROUND(AVERAGE(AB21:AE21),0)</f>
        <v>82</v>
      </c>
      <c r="AJ32" s="42" t="str">
        <f t="shared" si="4"/>
        <v/>
      </c>
      <c r="AK32" s="46" t="s">
        <v>30</v>
      </c>
    </row>
    <row r="33" spans="1:37" ht="13.15" x14ac:dyDescent="0.4">
      <c r="A33" s="32"/>
      <c r="B33" s="24"/>
      <c r="D33" s="39"/>
      <c r="G33" s="29"/>
      <c r="H33" s="22"/>
      <c r="I33" s="22"/>
      <c r="J33" s="22"/>
      <c r="K33" s="29"/>
      <c r="L33" s="22"/>
      <c r="M33" s="22"/>
      <c r="N33" s="22"/>
      <c r="O33" s="29"/>
      <c r="S33" s="29"/>
      <c r="U33" s="22"/>
      <c r="V33" s="46"/>
      <c r="W33" s="46"/>
      <c r="X33" s="46"/>
      <c r="Y33" s="46"/>
      <c r="AA33" s="44" t="s">
        <v>31</v>
      </c>
      <c r="AB33" s="48" t="str">
        <f>IF(AE11=0,"",ROUND(AVERAGE(AB21,AC21,AE21),0))</f>
        <v/>
      </c>
      <c r="AC33" s="42" t="str">
        <f>IF(AE11=0,"",MAX(AB21:AC21,AE21)-MIN(AB21:AC21,AE21))</f>
        <v/>
      </c>
      <c r="AD33" s="44" t="str">
        <f>IF(AE11=0,"",VLOOKUP(3,V3:W11,2))</f>
        <v/>
      </c>
      <c r="AE33" s="45" t="str">
        <f>IF(AE11=0,"",IF(AB33&gt;50,FLOOR(ROUND(AD33*SQRT((ROUND(AB33,0)-0.5)*(100-ROUND(AB33,0)+0.5)/($B$5*$B$7))+0.2,2),1),FLOOR(ROUND(AD33*SQRT((101-ROUND(AB33,0)-0.5)*(ROUND(AB33,0)-0.5)/($B$5*$B$7))+0.2,2),1)))</f>
        <v/>
      </c>
      <c r="AF33" s="42" t="str">
        <f>IF(AE11=0,"no",IF(AF32="next",IF(AC33&gt;AE33,"next","ok"),""))</f>
        <v>no</v>
      </c>
      <c r="AH33" s="44" t="s">
        <v>31</v>
      </c>
      <c r="AI33" s="48">
        <f>ROUND(AVERAGE(AB21,AC21,AE21),0)</f>
        <v>83</v>
      </c>
      <c r="AJ33" s="42" t="str">
        <f t="shared" si="4"/>
        <v/>
      </c>
      <c r="AK33" s="44" t="s">
        <v>31</v>
      </c>
    </row>
    <row r="34" spans="1:37" ht="13.15" x14ac:dyDescent="0.4">
      <c r="A34" s="2"/>
      <c r="B34" s="4"/>
      <c r="D34" s="39" t="str">
        <f>IF(AF27="no","",IF(AF28="no","",IF(AF29="no","",IF($D28="","",IF($K22="Retest","Test 2 &amp; Test 3","")))))</f>
        <v>Test 2 &amp; Test 3</v>
      </c>
      <c r="G34" s="29">
        <f>IF($D28="","",IF($K22="Retest",AB31,""))</f>
        <v>80</v>
      </c>
      <c r="H34" s="22"/>
      <c r="I34" s="22"/>
      <c r="J34" s="22"/>
      <c r="K34" s="29">
        <f>IF($D28="","",IF($K22="Retest",AC31,""))</f>
        <v>2</v>
      </c>
      <c r="L34" s="22"/>
      <c r="M34" s="22"/>
      <c r="N34" s="22"/>
      <c r="O34" s="29">
        <f>IF($D28="","",IF($K22="Retest",AE31,""))</f>
        <v>6</v>
      </c>
      <c r="S34" s="29" t="str">
        <f>IF(AF27="no","",IF(AF28="no","",IF(AF29="no","",IF($D28="","",IF($K22="Retest",IF(K34&gt;O34,"Out of tolerance","OK"),"")))))</f>
        <v>OK</v>
      </c>
      <c r="U34" s="22"/>
      <c r="V34" s="46"/>
      <c r="W34" s="46"/>
      <c r="X34" s="46"/>
      <c r="Y34" s="46"/>
      <c r="AA34" s="44" t="s">
        <v>32</v>
      </c>
      <c r="AB34" s="48" t="str">
        <f>IF(AE11=0,"",ROUND(AVERAGE(AB21,AD21:AE21),0))</f>
        <v/>
      </c>
      <c r="AC34" s="42" t="str">
        <f>IF(AE11=0,"",MAX(AB21,AD21:AE21)-MIN(AB21,AD21:AE21))</f>
        <v/>
      </c>
      <c r="AD34" s="44" t="str">
        <f>IF(AE11=0,"",VLOOKUP(3,V3:W11,2))</f>
        <v/>
      </c>
      <c r="AE34" s="45" t="str">
        <f>IF(AE11=0,"",IF(AB34&gt;50,FLOOR(ROUND(AD34*SQRT((ROUND(AB34,0)-0.5)*(100-ROUND(AB34,0)+0.5)/($B$5*$B$7))+0.2,2),1),FLOOR(ROUND(AD34*SQRT((101-ROUND(AB34,0)-0.5)*(ROUND(AB34,0)-0.5)/($B$5*$B$7))+0.2,2),1)))</f>
        <v/>
      </c>
      <c r="AF34" s="42" t="str">
        <f>IF(AE11=0,"no",IF(AF32="next",IF(AC34&gt;AE34,"next","ok"),""))</f>
        <v>no</v>
      </c>
      <c r="AH34" s="44" t="s">
        <v>32</v>
      </c>
      <c r="AI34" s="48">
        <f>ROUND(AVERAGE(AB21,AD21:AE21),0)</f>
        <v>84</v>
      </c>
      <c r="AJ34" s="42" t="str">
        <f t="shared" si="4"/>
        <v/>
      </c>
      <c r="AK34" s="44" t="s">
        <v>32</v>
      </c>
    </row>
    <row r="35" spans="1:37" ht="13.15" x14ac:dyDescent="0.4">
      <c r="A35" s="24"/>
      <c r="B35" s="24"/>
      <c r="D35" s="39"/>
      <c r="G35" s="29"/>
      <c r="H35" s="22"/>
      <c r="I35" s="22"/>
      <c r="J35" s="22"/>
      <c r="K35" s="29"/>
      <c r="L35" s="22"/>
      <c r="M35" s="22"/>
      <c r="N35" s="22"/>
      <c r="O35" s="29"/>
      <c r="S35" s="29"/>
      <c r="U35" s="22"/>
      <c r="V35" s="46"/>
      <c r="W35" s="46"/>
      <c r="X35" s="46"/>
      <c r="Y35" s="46"/>
      <c r="AA35" s="44" t="s">
        <v>33</v>
      </c>
      <c r="AB35" s="48" t="str">
        <f>IF(AE11=0,"",ROUND(AVERAGE(AC21:AE21),0))</f>
        <v/>
      </c>
      <c r="AC35" s="42" t="str">
        <f>IF(AE11=0,"",MAX(AC21:AE21)-MIN(AC21:AE21))</f>
        <v/>
      </c>
      <c r="AD35" s="44" t="str">
        <f>IF(AE11=0,"",VLOOKUP(3,V3:W11,2))</f>
        <v/>
      </c>
      <c r="AE35" s="45" t="str">
        <f>IF(AE11=0,"",IF(AB35&gt;50,FLOOR(ROUND(AD35*SQRT((ROUND(AB35,0)-0.5)*(100-ROUND(AB35,0)+0.5)/($B$5*$B$7))+0.2,2),1),FLOOR(ROUND(AD35*SQRT((101-ROUND(AB35,0)-0.5)*(ROUND(AB35,0)-0.5)/($B$5*$B$7))+0.2,2),1)))</f>
        <v/>
      </c>
      <c r="AF35" s="42" t="str">
        <f>IF(AE11=0,"no",IF(AF33="next",IF(AC35&gt;AE35,"next","ok"),""))</f>
        <v>no</v>
      </c>
      <c r="AG35" s="42" t="str">
        <f>IF(AF33="next",IF(AF34="next",IF(AF35="next","next",""),""),"")</f>
        <v/>
      </c>
      <c r="AH35" s="44" t="s">
        <v>33</v>
      </c>
      <c r="AI35" s="48">
        <f>ROUND(AVERAGE(AC21:AE21),0)</f>
        <v>80</v>
      </c>
      <c r="AJ35" s="42" t="str">
        <f t="shared" si="4"/>
        <v/>
      </c>
      <c r="AK35" s="44" t="s">
        <v>33</v>
      </c>
    </row>
    <row r="36" spans="1:37" ht="13.15" x14ac:dyDescent="0.4">
      <c r="A36" s="2"/>
      <c r="B36" s="2"/>
      <c r="D36" s="39" t="str">
        <f>IF(AF27="no","",IF(AF28="no","",IF(AF29="no","",IF(AF32="no","",IF($D28="","",IF($O22="Retest","Test 1 &amp; Test 2 &amp; Test 3 &amp; Test 4",""))))))</f>
        <v/>
      </c>
      <c r="G36" s="29" t="str">
        <f>IF($D28="","",IF($O22="Retest",AB32,""))</f>
        <v/>
      </c>
      <c r="H36" s="22"/>
      <c r="I36" s="22"/>
      <c r="J36" s="22"/>
      <c r="K36" s="29" t="str">
        <f>IF($D28="","",IF($O22="Retest",AC32,""))</f>
        <v/>
      </c>
      <c r="L36" s="22"/>
      <c r="M36" s="22"/>
      <c r="N36" s="22"/>
      <c r="O36" s="29" t="str">
        <f>IF($D28="","",IF($O22="Retest",AE32,""))</f>
        <v/>
      </c>
      <c r="S36" s="29" t="str">
        <f>IF(AF27="no","",IF(AF28="no","",IF(AF29="no","",IF(AF32="no","",IF($D28="","",IF($O22="Retest",IF(K36&gt;O36,"Out of tolerance","OK"),""))))))</f>
        <v/>
      </c>
      <c r="U36" s="22"/>
      <c r="V36" s="46"/>
      <c r="W36" s="46"/>
      <c r="X36" s="46"/>
      <c r="Y36" s="46"/>
      <c r="AA36" s="46" t="s">
        <v>34</v>
      </c>
      <c r="AB36" s="48" t="str">
        <f>IF(AE11=0,"",ROUND(AVERAGE(AB21,AE21),0))</f>
        <v/>
      </c>
      <c r="AC36" s="42" t="str">
        <f>IF(AE11=0,"",MAX(AB21,AE21)-MIN(AB21,AE21))</f>
        <v/>
      </c>
      <c r="AD36" s="44" t="str">
        <f>IF(AE11=0,"",VLOOKUP(2,V3:W11,2))</f>
        <v/>
      </c>
      <c r="AE36" s="45" t="str">
        <f>IF(AE11=0,"",IF(AB36&gt;50,FLOOR(ROUND(AD36*SQRT((ROUND(AB36,0)-0.5)*(100-ROUND(AB36,0)+0.5)/($B$5*$B$7))+0.2,2),1),FLOOR(ROUND(AD36*SQRT((101-ROUND(AB36,0)-0.5)*(ROUND(AB36,0)-0.5)/($B$5*$B$7))+0.2,2),1)))</f>
        <v/>
      </c>
      <c r="AF36" s="42" t="str">
        <f>IF(AE11=0,"no",IF(AG35="next",IF(AC36&gt;AE36,"next","ok"),""))</f>
        <v>no</v>
      </c>
      <c r="AH36" s="46" t="s">
        <v>34</v>
      </c>
      <c r="AI36" s="48">
        <f>ROUND(AVERAGE(AB21,AE21),0)</f>
        <v>86</v>
      </c>
      <c r="AJ36" s="42" t="str">
        <f t="shared" si="4"/>
        <v/>
      </c>
      <c r="AK36" s="46" t="s">
        <v>34</v>
      </c>
    </row>
    <row r="37" spans="1:37" ht="13.15" x14ac:dyDescent="0.4">
      <c r="A37" s="26"/>
      <c r="B37" s="4"/>
      <c r="D37" s="39"/>
      <c r="G37" s="29"/>
      <c r="H37" s="22"/>
      <c r="I37" s="22"/>
      <c r="J37" s="22"/>
      <c r="K37" s="29"/>
      <c r="L37" s="22"/>
      <c r="M37" s="22"/>
      <c r="N37" s="22"/>
      <c r="O37" s="29"/>
      <c r="S37" s="29"/>
      <c r="U37" s="22"/>
      <c r="V37" s="46"/>
      <c r="W37" s="46"/>
      <c r="X37" s="46"/>
      <c r="Y37" s="46"/>
      <c r="AA37" s="46" t="s">
        <v>35</v>
      </c>
      <c r="AB37" s="48" t="str">
        <f>IF(AE11=0,"",ROUND(AVERAGE(AC21,AE21),0))</f>
        <v/>
      </c>
      <c r="AC37" s="42" t="str">
        <f>IF(AE11=0,"",MAX(AC21,AE21)-MIN(AC21,AE21))</f>
        <v/>
      </c>
      <c r="AD37" s="44" t="str">
        <f>IF(AE11=0,"",VLOOKUP(2,V3:W11,2))</f>
        <v/>
      </c>
      <c r="AE37" s="45" t="str">
        <f>IF(AE11=0,"",IF(AB37&gt;50,FLOOR(ROUND(AD37*SQRT((ROUND(AB37,0)-0.5)*(100-ROUND(AB37,0)+0.5)/($B$5*$B$7))+0.2,2),1),FLOOR(ROUND(AD37*SQRT((101-ROUND(AB37,0)-0.5)*(ROUND(AB37,0)-0.5)/($B$5*$B$7))+0.2,2),1)))</f>
        <v/>
      </c>
      <c r="AF37" s="42" t="str">
        <f>IF(AE11=0,"no",IF(AG35="next",IF(AC37&gt;AE37,"next","ok"),""))</f>
        <v>no</v>
      </c>
      <c r="AH37" s="46" t="s">
        <v>35</v>
      </c>
      <c r="AI37" s="48">
        <f>ROUND(AVERAGE(AC21,AE21),0)</f>
        <v>79</v>
      </c>
      <c r="AJ37" s="42" t="str">
        <f t="shared" si="4"/>
        <v/>
      </c>
      <c r="AK37" s="46" t="s">
        <v>35</v>
      </c>
    </row>
    <row r="38" spans="1:37" ht="13.15" x14ac:dyDescent="0.4">
      <c r="A38" s="2"/>
      <c r="B38" s="24"/>
      <c r="D38" s="18" t="str">
        <f>IF(AF27="no","",IF(AF28="no","",IF(AF29="no","",IF(AF32="no","",IF($D28="","",IF($O22="Retest","Test 1 &amp; Test 2 &amp; Test 4",""))))))</f>
        <v/>
      </c>
      <c r="G38" s="28" t="str">
        <f>IF($D28="","",IF($O22="Retest",AB33,""))</f>
        <v/>
      </c>
      <c r="H38" s="22"/>
      <c r="I38" s="22"/>
      <c r="J38" s="22"/>
      <c r="K38" s="28" t="str">
        <f>IF($D28="","",IF($O22="Retest",AC33,""))</f>
        <v/>
      </c>
      <c r="L38" s="22"/>
      <c r="M38" s="22"/>
      <c r="N38" s="22"/>
      <c r="O38" s="28" t="str">
        <f>IF($D28="","",IF($O22="Retest",AE33,""))</f>
        <v/>
      </c>
      <c r="S38" s="28" t="str">
        <f>IF(AF27="no","",IF(AF28="no","",IF(AF29="no","",IF(AF32="no","",IF($D28="","",IF($O22="Retest",IF(K38&gt;O38,"Out of tolerance","OK"),""))))))</f>
        <v/>
      </c>
      <c r="U38" s="22"/>
      <c r="V38" s="46"/>
      <c r="W38" s="46"/>
      <c r="X38" s="46"/>
      <c r="Y38" s="46"/>
      <c r="AA38" s="46" t="s">
        <v>36</v>
      </c>
      <c r="AB38" s="48" t="str">
        <f>IF(AE11=0,"",ROUND(AVERAGE(AD21,AE21),0))</f>
        <v/>
      </c>
      <c r="AC38" s="42" t="str">
        <f>IF(AE11=0,"",MAX(AD21:AE21)-MIN(AD21:AE21))</f>
        <v/>
      </c>
      <c r="AD38" s="44" t="str">
        <f>IF(AE11=0,"",VLOOKUP(2,V3:W11,2))</f>
        <v/>
      </c>
      <c r="AE38" s="45" t="str">
        <f>IF(AE11=0,"",IF(AB38&gt;50,FLOOR(ROUND(AD38*SQRT((ROUND(AB38,0)-0.5)*(100-ROUND(AB38,0)+0.5)/($B$5*$B$7))+0.2,2),1),FLOOR(ROUND(AD38*SQRT((101-ROUND(AB38,0)-0.5)*(ROUND(AB38,0)-0.5)/($B$5*$B$7))+0.2,2),1)))</f>
        <v/>
      </c>
      <c r="AF38" s="42" t="str">
        <f>IF(AE11=0,"no",IF(AG35="next",IF(AC38&gt;AE38,"next","ok"),""))</f>
        <v>no</v>
      </c>
      <c r="AG38" s="42" t="str">
        <f>IF(AF36="next",IF(AF37="next",IF(AF38="next","next",""),""),"")</f>
        <v/>
      </c>
      <c r="AH38" s="46" t="s">
        <v>36</v>
      </c>
      <c r="AI38" s="48">
        <f>ROUND(AVERAGE(AD21,AE21),0)</f>
        <v>81</v>
      </c>
      <c r="AJ38" s="42" t="str">
        <f t="shared" si="4"/>
        <v/>
      </c>
      <c r="AK38" s="46" t="s">
        <v>36</v>
      </c>
    </row>
    <row r="39" spans="1:37" ht="13.15" x14ac:dyDescent="0.4">
      <c r="A39" s="37"/>
      <c r="B39" s="3"/>
      <c r="D39" s="18"/>
      <c r="G39" s="28"/>
      <c r="H39" s="22"/>
      <c r="I39" s="22"/>
      <c r="J39" s="22"/>
      <c r="K39" s="28"/>
      <c r="L39" s="22"/>
      <c r="M39" s="22"/>
      <c r="N39" s="22"/>
      <c r="O39" s="28"/>
      <c r="S39" s="28"/>
      <c r="U39" s="22"/>
      <c r="V39" s="46"/>
      <c r="W39" s="46"/>
      <c r="X39" s="46"/>
      <c r="Y39" s="46"/>
      <c r="AA39" s="46"/>
    </row>
    <row r="40" spans="1:37" ht="13.15" x14ac:dyDescent="0.4">
      <c r="A40" s="24"/>
      <c r="B40" s="24"/>
      <c r="D40" s="18" t="str">
        <f>IF(AF27="no","",IF(AF28="no","",IF(AF29="no","",IF(AF32="no","",IF($D28="","",IF($O22="Retest","Test 1 &amp; Test 3 &amp; Test 4",""))))))</f>
        <v/>
      </c>
      <c r="G40" s="28" t="str">
        <f>IF($D28="","",IF($O22="Retest",AB34,""))</f>
        <v/>
      </c>
      <c r="H40" s="22"/>
      <c r="I40" s="22"/>
      <c r="J40" s="22"/>
      <c r="K40" s="28" t="str">
        <f>IF($D28="","",IF($O22="Retest",AC34,""))</f>
        <v/>
      </c>
      <c r="L40" s="22"/>
      <c r="M40" s="22"/>
      <c r="N40" s="22"/>
      <c r="O40" s="28" t="str">
        <f>IF($D28="","",IF($O22="Retest",AE34,""))</f>
        <v/>
      </c>
      <c r="S40" s="28" t="str">
        <f>IF(AF27="no","",IF(AF28="no","",IF(AF29="no","",IF(AF32="no","",IF($D28="","",IF($O22="Retest",IF(K40&gt;O40,"Out of tolerance","OK"),""))))))</f>
        <v/>
      </c>
      <c r="U40" s="22"/>
      <c r="V40" s="46"/>
      <c r="W40" s="46"/>
      <c r="X40" s="46"/>
      <c r="Y40" s="46"/>
      <c r="AA40" s="42" t="s">
        <v>41</v>
      </c>
    </row>
    <row r="41" spans="1:37" ht="13.15" x14ac:dyDescent="0.4">
      <c r="A41" s="37"/>
      <c r="B41" s="24"/>
      <c r="D41" s="18"/>
      <c r="G41" s="28"/>
      <c r="H41" s="22"/>
      <c r="I41" s="22"/>
      <c r="J41" s="22"/>
      <c r="K41" s="28"/>
      <c r="L41" s="22"/>
      <c r="M41" s="22"/>
      <c r="N41" s="22"/>
      <c r="O41" s="28"/>
      <c r="S41" s="28"/>
      <c r="U41" s="22"/>
      <c r="V41" s="46"/>
      <c r="W41" s="46"/>
      <c r="X41" s="46"/>
      <c r="Y41" s="46"/>
      <c r="AA41" s="42" t="str">
        <f>VLOOKUP(AB41,AJ27:AK38,2)</f>
        <v>1&amp;2&amp;3</v>
      </c>
      <c r="AB41" s="42">
        <f>MAX(AJ27:AJ38)</f>
        <v>82</v>
      </c>
    </row>
    <row r="42" spans="1:37" ht="13.15" x14ac:dyDescent="0.4">
      <c r="A42" s="24"/>
      <c r="B42" s="24"/>
      <c r="D42" s="18" t="str">
        <f>IF(AF27="no","",IF(AF28="no","",IF(AF29="no","",IF(AF32="no","",IF($D28="","",IF($O22="Retest","Test 2 &amp; Test 3 &amp; Test 4",""))))))</f>
        <v/>
      </c>
      <c r="G42" s="28" t="str">
        <f>IF($D28="","",IF($O22="Retest",AB35,""))</f>
        <v/>
      </c>
      <c r="H42" s="22"/>
      <c r="I42" s="22"/>
      <c r="J42" s="22"/>
      <c r="K42" s="28" t="str">
        <f>IF($D28="","",IF($O22="Retest",AC35,""))</f>
        <v/>
      </c>
      <c r="L42" s="22"/>
      <c r="M42" s="22"/>
      <c r="N42" s="22"/>
      <c r="O42" s="28" t="str">
        <f>IF($D28="","",IF($O22="Retest",AE35,""))</f>
        <v/>
      </c>
      <c r="S42" s="28" t="str">
        <f>IF(AF27="no","",IF(AF28="no","",IF(AF29="no","",IF(AF32="no","",IF($D28="","",IF($O22="Retest",IF(K42&gt;O42,"Out of tolerance","OK"),""))))))</f>
        <v/>
      </c>
      <c r="U42" s="22"/>
      <c r="V42" s="46"/>
      <c r="W42" s="46"/>
      <c r="X42" s="46"/>
      <c r="Y42" s="46"/>
      <c r="AA42" s="42" t="b">
        <f>ISERROR(AA41)</f>
        <v>0</v>
      </c>
    </row>
    <row r="43" spans="1:37" ht="13.15" x14ac:dyDescent="0.4">
      <c r="A43" s="24"/>
      <c r="B43" s="2"/>
      <c r="D43" s="18"/>
      <c r="G43" s="28"/>
      <c r="H43" s="22"/>
      <c r="I43" s="22"/>
      <c r="J43" s="22"/>
      <c r="K43" s="28"/>
      <c r="L43" s="22"/>
      <c r="M43" s="22"/>
      <c r="N43" s="22"/>
      <c r="O43" s="28"/>
      <c r="S43" s="28"/>
      <c r="U43" s="22"/>
      <c r="V43" s="46"/>
      <c r="W43" s="46"/>
      <c r="X43" s="46"/>
      <c r="Y43" s="46"/>
      <c r="AA43" s="42"/>
      <c r="AB43" s="43" t="str">
        <f>IF(AF27="ok","ok","")</f>
        <v/>
      </c>
    </row>
    <row r="44" spans="1:37" ht="13.15" x14ac:dyDescent="0.4">
      <c r="A44" s="24"/>
      <c r="B44" s="24"/>
      <c r="D44" s="18" t="str">
        <f>IF(AF27="no","",IF(AF28="no","",IF(AF29="no","",IF(AF32="no","",IF($D28="","",IF($O22="Retest","Test 1 &amp; Test 4",""))))))</f>
        <v/>
      </c>
      <c r="G44" s="28" t="str">
        <f>IF($D28="","",IF($O22="Retest",AB36,""))</f>
        <v/>
      </c>
      <c r="H44" s="22"/>
      <c r="I44" s="22"/>
      <c r="J44" s="22"/>
      <c r="K44" s="28" t="str">
        <f>IF($D28="","",IF($O22="Retest",AC36,""))</f>
        <v/>
      </c>
      <c r="L44" s="22"/>
      <c r="M44" s="22"/>
      <c r="N44" s="22"/>
      <c r="O44" s="28" t="str">
        <f>IF($D28="","",IF($O22="Retest",AE36,""))</f>
        <v/>
      </c>
      <c r="S44" s="28" t="str">
        <f>IF(AF27="no","",IF(AF28="no","",IF(AF29="no","",IF(AF32="no","",IF($D28="","",IF($O22="Retest",IF(K44&gt;O44,"Out of tolerance","OK"),""))))))</f>
        <v/>
      </c>
      <c r="U44" s="22"/>
      <c r="V44" s="46"/>
      <c r="W44" s="46"/>
      <c r="X44" s="46"/>
      <c r="Y44" s="46"/>
      <c r="AA44" s="42"/>
    </row>
    <row r="45" spans="1:37" ht="13.15" x14ac:dyDescent="0.4">
      <c r="A45" s="24"/>
      <c r="B45" s="24"/>
      <c r="D45" s="18"/>
      <c r="G45" s="28"/>
      <c r="H45" s="22"/>
      <c r="I45" s="22"/>
      <c r="J45" s="22"/>
      <c r="K45" s="28"/>
      <c r="L45" s="22"/>
      <c r="M45" s="22"/>
      <c r="N45" s="22"/>
      <c r="O45" s="28"/>
      <c r="S45" s="28"/>
      <c r="U45" s="22"/>
      <c r="V45" s="46"/>
      <c r="W45" s="46"/>
      <c r="X45" s="46"/>
      <c r="Y45" s="46"/>
      <c r="AA45" s="42"/>
    </row>
    <row r="46" spans="1:37" ht="13.15" x14ac:dyDescent="0.4">
      <c r="A46" s="24"/>
      <c r="B46" s="24"/>
      <c r="D46" s="18" t="str">
        <f>IF(AF27="no","",IF(AF28="no","",IF(AF29="no","",IF(AF32="no","",IF($D28="","",IF($O22="Retest","Test 2 &amp; Test 4",""))))))</f>
        <v/>
      </c>
      <c r="G46" s="28" t="str">
        <f>IF($D28="","",IF($O22="Retest",AB37,""))</f>
        <v/>
      </c>
      <c r="H46" s="22"/>
      <c r="I46" s="22"/>
      <c r="J46" s="22"/>
      <c r="K46" s="28" t="str">
        <f>IF($D28="","",IF($O22="Retest",AC37,""))</f>
        <v/>
      </c>
      <c r="L46" s="22"/>
      <c r="M46" s="22"/>
      <c r="N46" s="22"/>
      <c r="O46" s="28" t="str">
        <f>IF($D28="","",IF($O22="Retest",AE37,""))</f>
        <v/>
      </c>
      <c r="S46" s="28" t="str">
        <f>IF(AF27="no","",IF(AF28="no","",IF(AF29="no","",IF(AF32="no","",IF($D28="","",IF($O22="Retest",IF(K46&gt;O46,"Out of tolerance","OK"),""))))))</f>
        <v/>
      </c>
      <c r="U46" s="22"/>
      <c r="V46" s="46"/>
      <c r="W46" s="46"/>
      <c r="X46" s="46"/>
      <c r="Y46" s="46"/>
      <c r="AA46" s="42"/>
    </row>
    <row r="47" spans="1:37" ht="13.15" x14ac:dyDescent="0.4">
      <c r="A47" s="24"/>
      <c r="B47" s="24"/>
      <c r="D47" s="18"/>
      <c r="G47" s="28"/>
      <c r="H47" s="22"/>
      <c r="I47" s="22"/>
      <c r="J47" s="22"/>
      <c r="K47" s="28"/>
      <c r="L47" s="22"/>
      <c r="M47" s="22"/>
      <c r="N47" s="22"/>
      <c r="O47" s="28"/>
      <c r="S47" s="28"/>
      <c r="U47" s="22"/>
      <c r="V47" s="46"/>
      <c r="W47" s="46"/>
      <c r="X47" s="46"/>
      <c r="Y47" s="46"/>
    </row>
    <row r="48" spans="1:37" ht="13.15" x14ac:dyDescent="0.4">
      <c r="A48" s="24"/>
      <c r="B48" s="24"/>
      <c r="D48" s="18" t="str">
        <f>IF(AF27="no","",IF(AF28="no","",IF(AF29="no","",IF(AF32="no","",IF($D28="","",IF($O22="Retest","Test 3 &amp; Test 4",""))))))</f>
        <v/>
      </c>
      <c r="G48" s="28" t="str">
        <f>IF($D28="","",IF($O22="Retest",AB38,""))</f>
        <v/>
      </c>
      <c r="H48" s="22"/>
      <c r="I48" s="22"/>
      <c r="J48" s="22"/>
      <c r="K48" s="28" t="str">
        <f>IF($D28="","",IF($O22="Retest",AC38,""))</f>
        <v/>
      </c>
      <c r="L48" s="22"/>
      <c r="M48" s="22"/>
      <c r="N48" s="22"/>
      <c r="O48" s="28" t="str">
        <f>IF($D28="","",IF($O22="Retest",AE38,""))</f>
        <v/>
      </c>
      <c r="S48" s="28" t="str">
        <f>IF(AF27="no","",IF(AF28="no","",IF(AF29="no","",IF(AF32="no","",IF($D28="","",IF($O22="Retest",IF(K48&gt;O48,"Out of tolerance","OK"),""))))))</f>
        <v/>
      </c>
      <c r="U48" s="22"/>
      <c r="V48" s="46"/>
      <c r="W48" s="46"/>
      <c r="X48" s="46"/>
      <c r="Y48" s="46"/>
    </row>
    <row r="49" spans="1:25" x14ac:dyDescent="0.35">
      <c r="A49" s="24"/>
      <c r="B49" s="24"/>
      <c r="U49" s="22"/>
      <c r="V49" s="46"/>
      <c r="W49" s="46"/>
      <c r="X49" s="46"/>
      <c r="Y49" s="46"/>
    </row>
    <row r="50" spans="1:25" x14ac:dyDescent="0.35">
      <c r="A50" s="24"/>
      <c r="B50" s="24"/>
      <c r="U50" s="22"/>
      <c r="V50" s="46"/>
      <c r="W50" s="46"/>
      <c r="X50" s="46"/>
      <c r="Y50" s="46"/>
    </row>
    <row r="51" spans="1:25" x14ac:dyDescent="0.35">
      <c r="A51" s="24"/>
      <c r="B51" s="24"/>
      <c r="U51" s="22"/>
      <c r="V51" s="46"/>
      <c r="W51" s="46"/>
      <c r="X51" s="46"/>
      <c r="Y51" s="46"/>
    </row>
    <row r="52" spans="1:25" x14ac:dyDescent="0.35">
      <c r="A52" s="24"/>
      <c r="B52" s="24"/>
      <c r="U52" s="22"/>
      <c r="V52" s="46"/>
      <c r="W52" s="46"/>
      <c r="X52" s="46"/>
      <c r="Y52" s="46"/>
    </row>
    <row r="53" spans="1:25" x14ac:dyDescent="0.35">
      <c r="A53" s="24"/>
      <c r="B53" s="24"/>
      <c r="U53" s="22"/>
      <c r="V53" s="46"/>
      <c r="W53" s="46"/>
      <c r="X53" s="46"/>
      <c r="Y53" s="46"/>
    </row>
    <row r="54" spans="1:25" x14ac:dyDescent="0.35">
      <c r="A54" s="24"/>
      <c r="B54" s="24"/>
      <c r="U54" s="22"/>
      <c r="V54" s="46"/>
      <c r="W54" s="46"/>
      <c r="X54" s="46"/>
      <c r="Y54" s="46"/>
    </row>
    <row r="55" spans="1:25" x14ac:dyDescent="0.35">
      <c r="A55" s="24"/>
      <c r="B55" s="24"/>
      <c r="U55" s="22"/>
      <c r="V55" s="46"/>
      <c r="W55" s="46"/>
      <c r="X55" s="46"/>
      <c r="Y55" s="46"/>
    </row>
    <row r="56" spans="1:25" x14ac:dyDescent="0.35">
      <c r="A56" s="24"/>
      <c r="B56" s="24"/>
      <c r="U56" s="22"/>
      <c r="V56" s="46"/>
      <c r="W56" s="46"/>
      <c r="X56" s="46"/>
      <c r="Y56" s="46"/>
    </row>
    <row r="57" spans="1:25" x14ac:dyDescent="0.35">
      <c r="A57" s="24"/>
      <c r="B57" s="24"/>
      <c r="U57" s="22"/>
      <c r="V57" s="46"/>
      <c r="W57" s="46"/>
      <c r="X57" s="46"/>
      <c r="Y57" s="46"/>
    </row>
    <row r="58" spans="1:25" x14ac:dyDescent="0.35">
      <c r="A58" s="24"/>
      <c r="B58" s="24"/>
      <c r="U58" s="22"/>
      <c r="V58" s="46"/>
      <c r="W58" s="46"/>
      <c r="X58" s="46"/>
      <c r="Y58" s="46"/>
    </row>
    <row r="59" spans="1:25" x14ac:dyDescent="0.35">
      <c r="A59" s="24"/>
      <c r="B59" s="24"/>
      <c r="U59" s="22"/>
      <c r="V59" s="46"/>
      <c r="W59" s="46"/>
      <c r="X59" s="46"/>
      <c r="Y59" s="46"/>
    </row>
    <row r="60" spans="1:25" x14ac:dyDescent="0.35">
      <c r="A60" s="24"/>
      <c r="B60" s="24"/>
      <c r="U60" s="22"/>
      <c r="V60" s="46"/>
      <c r="W60" s="46"/>
      <c r="X60" s="46"/>
      <c r="Y60" s="46"/>
    </row>
    <row r="61" spans="1:25" x14ac:dyDescent="0.35">
      <c r="A61" s="24"/>
      <c r="B61" s="24"/>
      <c r="U61" s="22"/>
      <c r="V61" s="46"/>
      <c r="W61" s="46"/>
      <c r="X61" s="46"/>
      <c r="Y61" s="46"/>
    </row>
    <row r="62" spans="1:25" x14ac:dyDescent="0.35">
      <c r="A62" s="24"/>
      <c r="B62" s="24"/>
      <c r="U62" s="22"/>
      <c r="V62" s="46"/>
      <c r="W62" s="46"/>
      <c r="X62" s="46"/>
      <c r="Y62" s="46"/>
    </row>
    <row r="63" spans="1:25" x14ac:dyDescent="0.35">
      <c r="A63" s="24"/>
      <c r="B63" s="24"/>
      <c r="U63" s="22"/>
      <c r="V63" s="46"/>
      <c r="W63" s="46"/>
      <c r="X63" s="46"/>
      <c r="Y63" s="46"/>
    </row>
    <row r="64" spans="1:25" x14ac:dyDescent="0.35">
      <c r="A64" s="24"/>
      <c r="B64" s="24"/>
      <c r="U64" s="22"/>
      <c r="V64" s="46"/>
      <c r="W64" s="46"/>
      <c r="X64" s="46"/>
      <c r="Y64" s="46"/>
    </row>
    <row r="65" spans="1:25" x14ac:dyDescent="0.35">
      <c r="A65" s="24"/>
      <c r="B65" s="24"/>
      <c r="U65" s="22"/>
      <c r="V65" s="46"/>
      <c r="W65" s="46"/>
      <c r="X65" s="46"/>
      <c r="Y65" s="46"/>
    </row>
    <row r="66" spans="1:25" x14ac:dyDescent="0.35">
      <c r="A66" s="24"/>
      <c r="B66" s="24"/>
      <c r="U66" s="22"/>
      <c r="V66" s="46"/>
      <c r="W66" s="46"/>
      <c r="X66" s="46"/>
      <c r="Y66" s="46"/>
    </row>
    <row r="67" spans="1:25" x14ac:dyDescent="0.35">
      <c r="A67" s="24"/>
      <c r="B67" s="24"/>
      <c r="U67" s="22"/>
      <c r="V67" s="46"/>
      <c r="W67" s="46"/>
      <c r="X67" s="46"/>
      <c r="Y67" s="46"/>
    </row>
    <row r="68" spans="1:25" x14ac:dyDescent="0.35">
      <c r="A68" s="24"/>
      <c r="B68" s="24"/>
      <c r="U68" s="22"/>
      <c r="V68" s="46"/>
      <c r="W68" s="46"/>
      <c r="X68" s="46"/>
      <c r="Y68" s="46"/>
    </row>
    <row r="69" spans="1:25" x14ac:dyDescent="0.35">
      <c r="A69" s="24"/>
      <c r="B69" s="24"/>
      <c r="U69" s="22"/>
      <c r="V69" s="46"/>
      <c r="W69" s="46"/>
      <c r="X69" s="46"/>
      <c r="Y69" s="46"/>
    </row>
    <row r="70" spans="1:25" x14ac:dyDescent="0.35">
      <c r="A70" s="24"/>
      <c r="B70" s="24"/>
      <c r="U70" s="22"/>
      <c r="V70" s="46"/>
      <c r="W70" s="46"/>
      <c r="X70" s="46"/>
      <c r="Y70" s="46"/>
    </row>
    <row r="71" spans="1:25" x14ac:dyDescent="0.35">
      <c r="A71" s="24"/>
      <c r="B71" s="24"/>
      <c r="U71" s="22"/>
      <c r="V71" s="46"/>
      <c r="W71" s="46"/>
      <c r="X71" s="46"/>
      <c r="Y71" s="46"/>
    </row>
    <row r="72" spans="1:25" x14ac:dyDescent="0.35">
      <c r="A72" s="24"/>
      <c r="B72" s="24"/>
      <c r="U72" s="22"/>
      <c r="V72" s="46"/>
      <c r="W72" s="46"/>
      <c r="X72" s="46"/>
      <c r="Y72" s="46"/>
    </row>
    <row r="73" spans="1:25" x14ac:dyDescent="0.35">
      <c r="A73" s="24"/>
      <c r="B73" s="24"/>
      <c r="U73" s="22"/>
      <c r="V73" s="46"/>
      <c r="W73" s="46"/>
      <c r="X73" s="46"/>
      <c r="Y73" s="46"/>
    </row>
    <row r="74" spans="1:25" x14ac:dyDescent="0.35">
      <c r="U74" s="22"/>
      <c r="V74" s="46"/>
      <c r="W74" s="46"/>
      <c r="X74" s="46"/>
      <c r="Y74" s="46"/>
    </row>
    <row r="75" spans="1:25" x14ac:dyDescent="0.35">
      <c r="U75" s="22"/>
      <c r="V75" s="46"/>
      <c r="W75" s="46"/>
      <c r="X75" s="46"/>
      <c r="Y75" s="46"/>
    </row>
    <row r="76" spans="1:25" x14ac:dyDescent="0.35">
      <c r="U76" s="22"/>
      <c r="V76" s="46"/>
      <c r="W76" s="46"/>
      <c r="X76" s="46"/>
      <c r="Y76" s="46"/>
    </row>
    <row r="77" spans="1:25" x14ac:dyDescent="0.35">
      <c r="U77" s="22"/>
      <c r="V77" s="46"/>
      <c r="W77" s="46"/>
      <c r="X77" s="46"/>
      <c r="Y77" s="46"/>
    </row>
    <row r="78" spans="1:25" x14ac:dyDescent="0.35">
      <c r="U78" s="22"/>
      <c r="V78" s="46"/>
      <c r="W78" s="46"/>
      <c r="X78" s="46"/>
      <c r="Y78" s="46"/>
    </row>
    <row r="79" spans="1:25" x14ac:dyDescent="0.35">
      <c r="U79" s="22"/>
      <c r="V79" s="46"/>
      <c r="W79" s="46"/>
      <c r="X79" s="46"/>
      <c r="Y79" s="46"/>
    </row>
    <row r="80" spans="1:25" x14ac:dyDescent="0.35">
      <c r="U80" s="22"/>
      <c r="V80" s="46"/>
      <c r="W80" s="46"/>
      <c r="X80" s="46"/>
      <c r="Y80" s="46"/>
    </row>
    <row r="81" spans="21:25" x14ac:dyDescent="0.35">
      <c r="U81" s="22"/>
      <c r="V81" s="46"/>
      <c r="W81" s="46"/>
      <c r="X81" s="46"/>
      <c r="Y81" s="46"/>
    </row>
    <row r="82" spans="21:25" x14ac:dyDescent="0.35">
      <c r="U82" s="22"/>
      <c r="V82" s="46"/>
      <c r="W82" s="46"/>
      <c r="X82" s="46"/>
      <c r="Y82" s="46"/>
    </row>
    <row r="83" spans="21:25" x14ac:dyDescent="0.35">
      <c r="U83" s="22"/>
      <c r="V83" s="46"/>
      <c r="W83" s="46"/>
      <c r="X83" s="46"/>
      <c r="Y83" s="46"/>
    </row>
    <row r="84" spans="21:25" x14ac:dyDescent="0.35">
      <c r="U84" s="22"/>
      <c r="V84" s="46"/>
      <c r="W84" s="46"/>
      <c r="X84" s="46"/>
      <c r="Y84" s="46"/>
    </row>
    <row r="85" spans="21:25" x14ac:dyDescent="0.35">
      <c r="U85" s="22"/>
      <c r="V85" s="46"/>
      <c r="W85" s="46"/>
      <c r="X85" s="46"/>
      <c r="Y85" s="46"/>
    </row>
    <row r="86" spans="21:25" x14ac:dyDescent="0.35">
      <c r="U86" s="22"/>
      <c r="V86" s="46"/>
      <c r="W86" s="46"/>
      <c r="X86" s="46"/>
      <c r="Y86" s="46"/>
    </row>
    <row r="87" spans="21:25" x14ac:dyDescent="0.35">
      <c r="U87" s="22"/>
      <c r="V87" s="46"/>
      <c r="W87" s="46"/>
      <c r="X87" s="46"/>
      <c r="Y87" s="46"/>
    </row>
    <row r="88" spans="21:25" x14ac:dyDescent="0.35">
      <c r="U88" s="22"/>
      <c r="V88" s="46"/>
      <c r="W88" s="46"/>
      <c r="X88" s="46"/>
      <c r="Y88" s="46"/>
    </row>
    <row r="89" spans="21:25" x14ac:dyDescent="0.35">
      <c r="U89" s="22"/>
      <c r="V89" s="46"/>
      <c r="W89" s="46"/>
      <c r="X89" s="46"/>
      <c r="Y89" s="46"/>
    </row>
    <row r="90" spans="21:25" x14ac:dyDescent="0.35">
      <c r="U90" s="22"/>
      <c r="V90" s="46"/>
      <c r="W90" s="46"/>
      <c r="X90" s="46"/>
      <c r="Y90" s="46"/>
    </row>
    <row r="91" spans="21:25" x14ac:dyDescent="0.35">
      <c r="U91" s="22"/>
      <c r="V91" s="46"/>
      <c r="W91" s="46"/>
      <c r="X91" s="46"/>
      <c r="Y91" s="46"/>
    </row>
    <row r="92" spans="21:25" x14ac:dyDescent="0.35">
      <c r="U92" s="22"/>
      <c r="V92" s="46"/>
      <c r="W92" s="46"/>
      <c r="X92" s="46"/>
      <c r="Y92" s="46"/>
    </row>
    <row r="93" spans="21:25" x14ac:dyDescent="0.35">
      <c r="U93" s="22"/>
      <c r="V93" s="46"/>
      <c r="W93" s="46"/>
      <c r="X93" s="46"/>
      <c r="Y93" s="46"/>
    </row>
    <row r="94" spans="21:25" x14ac:dyDescent="0.35">
      <c r="U94" s="22"/>
      <c r="V94" s="46"/>
      <c r="W94" s="46"/>
      <c r="X94" s="46"/>
      <c r="Y94" s="46"/>
    </row>
    <row r="95" spans="21:25" x14ac:dyDescent="0.35">
      <c r="U95" s="22"/>
      <c r="V95" s="46"/>
      <c r="W95" s="46"/>
      <c r="X95" s="46"/>
      <c r="Y95" s="46"/>
    </row>
    <row r="96" spans="21:25" x14ac:dyDescent="0.35">
      <c r="U96" s="22"/>
      <c r="V96" s="46"/>
      <c r="W96" s="46"/>
      <c r="X96" s="46"/>
      <c r="Y96" s="46"/>
    </row>
    <row r="97" spans="21:25" x14ac:dyDescent="0.35">
      <c r="U97" s="22"/>
      <c r="V97" s="46"/>
      <c r="W97" s="46"/>
      <c r="X97" s="46"/>
      <c r="Y97" s="46"/>
    </row>
    <row r="98" spans="21:25" x14ac:dyDescent="0.35">
      <c r="U98" s="22"/>
      <c r="V98" s="46"/>
      <c r="W98" s="46"/>
      <c r="X98" s="46"/>
      <c r="Y98" s="46"/>
    </row>
    <row r="99" spans="21:25" x14ac:dyDescent="0.35">
      <c r="U99" s="22"/>
      <c r="V99" s="46"/>
      <c r="W99" s="46"/>
      <c r="X99" s="46"/>
      <c r="Y99" s="46"/>
    </row>
    <row r="100" spans="21:25" x14ac:dyDescent="0.35">
      <c r="U100" s="22"/>
      <c r="V100" s="46"/>
      <c r="W100" s="46"/>
      <c r="X100" s="46"/>
      <c r="Y100" s="46"/>
    </row>
    <row r="101" spans="21:25" x14ac:dyDescent="0.35">
      <c r="U101" s="22"/>
      <c r="V101" s="46"/>
      <c r="W101" s="46"/>
      <c r="X101" s="46"/>
      <c r="Y101" s="46"/>
    </row>
    <row r="102" spans="21:25" x14ac:dyDescent="0.35">
      <c r="U102" s="22"/>
      <c r="V102" s="46"/>
      <c r="W102" s="46"/>
      <c r="X102" s="46"/>
      <c r="Y102" s="46"/>
    </row>
    <row r="103" spans="21:25" x14ac:dyDescent="0.35">
      <c r="U103" s="22"/>
      <c r="V103" s="46"/>
      <c r="W103" s="46"/>
      <c r="X103" s="46"/>
      <c r="Y103" s="46"/>
    </row>
    <row r="104" spans="21:25" x14ac:dyDescent="0.35">
      <c r="U104" s="22"/>
      <c r="V104" s="46"/>
      <c r="W104" s="46"/>
      <c r="X104" s="46"/>
      <c r="Y104" s="46"/>
    </row>
    <row r="105" spans="21:25" x14ac:dyDescent="0.35">
      <c r="U105" s="22"/>
      <c r="V105" s="46"/>
      <c r="W105" s="46"/>
      <c r="X105" s="46"/>
      <c r="Y105" s="46"/>
    </row>
    <row r="106" spans="21:25" x14ac:dyDescent="0.35">
      <c r="U106" s="22"/>
      <c r="V106" s="46"/>
      <c r="W106" s="46"/>
      <c r="X106" s="46"/>
      <c r="Y106" s="46"/>
    </row>
    <row r="107" spans="21:25" x14ac:dyDescent="0.35">
      <c r="U107" s="22"/>
      <c r="V107" s="46"/>
      <c r="W107" s="46"/>
      <c r="X107" s="46"/>
      <c r="Y107" s="46"/>
    </row>
    <row r="108" spans="21:25" x14ac:dyDescent="0.35">
      <c r="U108" s="22"/>
      <c r="V108" s="46"/>
      <c r="W108" s="46"/>
      <c r="X108" s="46"/>
      <c r="Y108" s="46"/>
    </row>
    <row r="109" spans="21:25" x14ac:dyDescent="0.35">
      <c r="U109" s="22"/>
      <c r="V109" s="46"/>
      <c r="W109" s="46"/>
      <c r="X109" s="46"/>
      <c r="Y109" s="46"/>
    </row>
    <row r="110" spans="21:25" x14ac:dyDescent="0.35">
      <c r="U110" s="22"/>
      <c r="V110" s="46"/>
      <c r="W110" s="46"/>
      <c r="X110" s="46"/>
      <c r="Y110" s="46"/>
    </row>
    <row r="111" spans="21:25" x14ac:dyDescent="0.35">
      <c r="U111" s="22"/>
      <c r="V111" s="46"/>
      <c r="W111" s="46"/>
      <c r="X111" s="46"/>
      <c r="Y111" s="46"/>
    </row>
    <row r="112" spans="21:25" x14ac:dyDescent="0.35">
      <c r="U112" s="22"/>
      <c r="V112" s="46"/>
      <c r="W112" s="46"/>
      <c r="X112" s="46"/>
      <c r="Y112" s="46"/>
    </row>
    <row r="113" spans="21:25" x14ac:dyDescent="0.35">
      <c r="U113" s="22"/>
      <c r="V113" s="46"/>
      <c r="W113" s="46"/>
      <c r="X113" s="46"/>
      <c r="Y113" s="46"/>
    </row>
    <row r="114" spans="21:25" x14ac:dyDescent="0.35">
      <c r="U114" s="22"/>
      <c r="V114" s="46"/>
      <c r="W114" s="46"/>
      <c r="X114" s="46"/>
      <c r="Y114" s="46"/>
    </row>
    <row r="115" spans="21:25" x14ac:dyDescent="0.35">
      <c r="U115" s="22"/>
      <c r="V115" s="46"/>
      <c r="W115" s="46"/>
      <c r="X115" s="46"/>
      <c r="Y115" s="46"/>
    </row>
    <row r="116" spans="21:25" x14ac:dyDescent="0.35">
      <c r="U116" s="22"/>
      <c r="V116" s="46"/>
      <c r="W116" s="46"/>
      <c r="X116" s="46"/>
      <c r="Y116" s="46"/>
    </row>
    <row r="117" spans="21:25" x14ac:dyDescent="0.35">
      <c r="U117" s="22"/>
      <c r="V117" s="46"/>
      <c r="W117" s="46"/>
      <c r="X117" s="46"/>
      <c r="Y117" s="46"/>
    </row>
    <row r="118" spans="21:25" x14ac:dyDescent="0.35">
      <c r="U118" s="22"/>
      <c r="V118" s="46"/>
      <c r="W118" s="46"/>
      <c r="X118" s="46"/>
      <c r="Y118" s="46"/>
    </row>
    <row r="119" spans="21:25" x14ac:dyDescent="0.35">
      <c r="U119" s="22"/>
      <c r="V119" s="46"/>
      <c r="W119" s="46"/>
      <c r="X119" s="46"/>
      <c r="Y119" s="46"/>
    </row>
    <row r="120" spans="21:25" x14ac:dyDescent="0.35">
      <c r="U120" s="22"/>
      <c r="V120" s="46"/>
      <c r="W120" s="46"/>
      <c r="X120" s="46"/>
      <c r="Y120" s="46"/>
    </row>
    <row r="121" spans="21:25" x14ac:dyDescent="0.35">
      <c r="U121" s="22"/>
      <c r="V121" s="46"/>
      <c r="W121" s="46"/>
      <c r="X121" s="46"/>
      <c r="Y121" s="46"/>
    </row>
    <row r="122" spans="21:25" x14ac:dyDescent="0.35">
      <c r="U122" s="22"/>
      <c r="V122" s="46"/>
      <c r="W122" s="46"/>
      <c r="X122" s="46"/>
      <c r="Y122" s="46"/>
    </row>
    <row r="123" spans="21:25" x14ac:dyDescent="0.35">
      <c r="U123" s="22"/>
      <c r="V123" s="46"/>
      <c r="W123" s="46"/>
      <c r="X123" s="46"/>
      <c r="Y123" s="46"/>
    </row>
    <row r="124" spans="21:25" x14ac:dyDescent="0.35">
      <c r="U124" s="22"/>
      <c r="V124" s="46"/>
      <c r="W124" s="46"/>
      <c r="X124" s="46"/>
      <c r="Y124" s="46"/>
    </row>
    <row r="125" spans="21:25" x14ac:dyDescent="0.35">
      <c r="U125" s="22"/>
      <c r="V125" s="46"/>
      <c r="W125" s="46"/>
      <c r="X125" s="46"/>
      <c r="Y125" s="46"/>
    </row>
    <row r="126" spans="21:25" x14ac:dyDescent="0.35">
      <c r="U126" s="22"/>
      <c r="V126" s="46"/>
      <c r="W126" s="46"/>
      <c r="X126" s="46"/>
      <c r="Y126" s="46"/>
    </row>
    <row r="127" spans="21:25" x14ac:dyDescent="0.35">
      <c r="U127" s="22"/>
      <c r="V127" s="46"/>
      <c r="W127" s="46"/>
      <c r="X127" s="46"/>
      <c r="Y127" s="46"/>
    </row>
    <row r="128" spans="21:25" x14ac:dyDescent="0.35">
      <c r="U128" s="22"/>
      <c r="V128" s="46"/>
      <c r="W128" s="46"/>
      <c r="X128" s="46"/>
      <c r="Y128" s="46"/>
    </row>
    <row r="129" spans="21:25" x14ac:dyDescent="0.35">
      <c r="U129" s="22"/>
      <c r="V129" s="46"/>
      <c r="W129" s="46"/>
      <c r="X129" s="46"/>
      <c r="Y129" s="46"/>
    </row>
    <row r="130" spans="21:25" x14ac:dyDescent="0.35">
      <c r="U130" s="22"/>
      <c r="V130" s="46"/>
      <c r="W130" s="46"/>
      <c r="X130" s="46"/>
      <c r="Y130" s="46"/>
    </row>
    <row r="131" spans="21:25" x14ac:dyDescent="0.35">
      <c r="U131" s="22"/>
      <c r="V131" s="46"/>
      <c r="W131" s="46"/>
      <c r="X131" s="46"/>
      <c r="Y131" s="46"/>
    </row>
    <row r="132" spans="21:25" x14ac:dyDescent="0.35">
      <c r="U132" s="22"/>
      <c r="V132" s="46"/>
      <c r="W132" s="46"/>
      <c r="X132" s="46"/>
      <c r="Y132" s="46"/>
    </row>
    <row r="133" spans="21:25" x14ac:dyDescent="0.35">
      <c r="U133" s="22"/>
      <c r="V133" s="46"/>
      <c r="W133" s="46"/>
      <c r="X133" s="46"/>
      <c r="Y133" s="46"/>
    </row>
    <row r="134" spans="21:25" x14ac:dyDescent="0.35">
      <c r="U134" s="22"/>
      <c r="V134" s="46"/>
      <c r="W134" s="46"/>
      <c r="X134" s="46"/>
      <c r="Y134" s="46"/>
    </row>
    <row r="135" spans="21:25" x14ac:dyDescent="0.35">
      <c r="U135" s="22"/>
      <c r="V135" s="46"/>
      <c r="W135" s="46"/>
      <c r="X135" s="46"/>
      <c r="Y135" s="46"/>
    </row>
    <row r="136" spans="21:25" x14ac:dyDescent="0.35">
      <c r="U136" s="22"/>
      <c r="V136" s="46"/>
      <c r="W136" s="46"/>
      <c r="X136" s="46"/>
      <c r="Y136" s="46"/>
    </row>
    <row r="137" spans="21:25" x14ac:dyDescent="0.35">
      <c r="U137" s="22"/>
      <c r="V137" s="46"/>
      <c r="W137" s="46"/>
      <c r="X137" s="46"/>
      <c r="Y137" s="46"/>
    </row>
    <row r="138" spans="21:25" x14ac:dyDescent="0.35">
      <c r="U138" s="22"/>
      <c r="V138" s="46"/>
      <c r="W138" s="46"/>
      <c r="X138" s="46"/>
      <c r="Y138" s="46"/>
    </row>
    <row r="139" spans="21:25" x14ac:dyDescent="0.35">
      <c r="U139" s="22"/>
      <c r="V139" s="46"/>
      <c r="W139" s="46"/>
      <c r="X139" s="46"/>
      <c r="Y139" s="46"/>
    </row>
    <row r="140" spans="21:25" x14ac:dyDescent="0.35">
      <c r="U140" s="22"/>
      <c r="V140" s="46"/>
      <c r="W140" s="46"/>
      <c r="X140" s="46"/>
      <c r="Y140" s="46"/>
    </row>
    <row r="141" spans="21:25" x14ac:dyDescent="0.35">
      <c r="U141" s="22"/>
      <c r="V141" s="46"/>
      <c r="W141" s="46"/>
      <c r="X141" s="46"/>
      <c r="Y141" s="46"/>
    </row>
    <row r="142" spans="21:25" x14ac:dyDescent="0.35">
      <c r="U142" s="22"/>
      <c r="V142" s="46"/>
      <c r="W142" s="46"/>
      <c r="X142" s="46"/>
      <c r="Y142" s="46"/>
    </row>
    <row r="143" spans="21:25" x14ac:dyDescent="0.35">
      <c r="U143" s="22"/>
      <c r="V143" s="46"/>
      <c r="W143" s="46"/>
      <c r="X143" s="46"/>
      <c r="Y143" s="46"/>
    </row>
    <row r="144" spans="21:25" x14ac:dyDescent="0.35">
      <c r="U144" s="22"/>
      <c r="V144" s="46"/>
      <c r="W144" s="46"/>
      <c r="X144" s="46"/>
      <c r="Y144" s="46"/>
    </row>
    <row r="145" spans="21:25" x14ac:dyDescent="0.35">
      <c r="U145" s="22"/>
      <c r="V145" s="46"/>
      <c r="W145" s="46"/>
      <c r="X145" s="46"/>
      <c r="Y145" s="46"/>
    </row>
    <row r="146" spans="21:25" x14ac:dyDescent="0.35">
      <c r="U146" s="22"/>
      <c r="V146" s="46"/>
      <c r="W146" s="46"/>
      <c r="X146" s="46"/>
      <c r="Y146" s="46"/>
    </row>
    <row r="147" spans="21:25" x14ac:dyDescent="0.35">
      <c r="U147" s="22"/>
      <c r="V147" s="46"/>
      <c r="W147" s="46"/>
      <c r="X147" s="46"/>
      <c r="Y147" s="46"/>
    </row>
    <row r="148" spans="21:25" x14ac:dyDescent="0.35">
      <c r="U148" s="22"/>
      <c r="V148" s="46"/>
      <c r="W148" s="46"/>
      <c r="X148" s="46"/>
      <c r="Y148" s="46"/>
    </row>
    <row r="149" spans="21:25" x14ac:dyDescent="0.35">
      <c r="U149" s="22"/>
      <c r="V149" s="46"/>
      <c r="W149" s="46"/>
      <c r="X149" s="46"/>
      <c r="Y149" s="46"/>
    </row>
    <row r="150" spans="21:25" x14ac:dyDescent="0.35">
      <c r="U150" s="22"/>
      <c r="V150" s="46"/>
      <c r="W150" s="46"/>
      <c r="X150" s="46"/>
      <c r="Y150" s="46"/>
    </row>
    <row r="151" spans="21:25" x14ac:dyDescent="0.35">
      <c r="U151" s="22"/>
      <c r="V151" s="46"/>
      <c r="W151" s="46"/>
      <c r="X151" s="46"/>
      <c r="Y151" s="46"/>
    </row>
    <row r="152" spans="21:25" x14ac:dyDescent="0.35">
      <c r="U152" s="22"/>
      <c r="V152" s="46"/>
      <c r="W152" s="46"/>
      <c r="X152" s="46"/>
      <c r="Y152" s="46"/>
    </row>
    <row r="153" spans="21:25" x14ac:dyDescent="0.35">
      <c r="U153" s="22"/>
      <c r="V153" s="46"/>
      <c r="W153" s="46"/>
      <c r="X153" s="46"/>
      <c r="Y153" s="46"/>
    </row>
    <row r="154" spans="21:25" x14ac:dyDescent="0.35">
      <c r="U154" s="22"/>
      <c r="V154" s="46"/>
      <c r="W154" s="46"/>
      <c r="X154" s="46"/>
      <c r="Y154" s="46"/>
    </row>
    <row r="155" spans="21:25" x14ac:dyDescent="0.35">
      <c r="U155" s="22"/>
      <c r="V155" s="46"/>
      <c r="W155" s="46"/>
      <c r="X155" s="46"/>
      <c r="Y155" s="46"/>
    </row>
    <row r="156" spans="21:25" x14ac:dyDescent="0.35">
      <c r="U156" s="22"/>
      <c r="V156" s="46"/>
      <c r="W156" s="46"/>
      <c r="X156" s="46"/>
      <c r="Y156" s="46"/>
    </row>
    <row r="157" spans="21:25" x14ac:dyDescent="0.35">
      <c r="U157" s="22"/>
      <c r="V157" s="46"/>
      <c r="W157" s="46"/>
      <c r="X157" s="46"/>
      <c r="Y157" s="46"/>
    </row>
    <row r="158" spans="21:25" x14ac:dyDescent="0.35">
      <c r="U158" s="22"/>
      <c r="V158" s="46"/>
      <c r="W158" s="46"/>
      <c r="X158" s="46"/>
      <c r="Y158" s="46"/>
    </row>
    <row r="159" spans="21:25" x14ac:dyDescent="0.35">
      <c r="U159" s="22"/>
      <c r="V159" s="46"/>
      <c r="W159" s="46"/>
      <c r="X159" s="46"/>
      <c r="Y159" s="46"/>
    </row>
    <row r="160" spans="21:25" x14ac:dyDescent="0.35">
      <c r="U160" s="22"/>
      <c r="V160" s="46"/>
      <c r="W160" s="46"/>
      <c r="X160" s="46"/>
      <c r="Y160" s="46"/>
    </row>
    <row r="161" spans="21:25" x14ac:dyDescent="0.35">
      <c r="U161" s="22"/>
      <c r="V161" s="46"/>
      <c r="W161" s="46"/>
      <c r="X161" s="46"/>
      <c r="Y161" s="46"/>
    </row>
    <row r="162" spans="21:25" x14ac:dyDescent="0.35">
      <c r="U162" s="22"/>
      <c r="V162" s="46"/>
      <c r="W162" s="46"/>
      <c r="X162" s="46"/>
      <c r="Y162" s="46"/>
    </row>
    <row r="163" spans="21:25" x14ac:dyDescent="0.35">
      <c r="U163" s="22"/>
      <c r="V163" s="46"/>
      <c r="W163" s="46"/>
      <c r="X163" s="46"/>
      <c r="Y163" s="46"/>
    </row>
    <row r="164" spans="21:25" x14ac:dyDescent="0.35">
      <c r="U164" s="22"/>
      <c r="V164" s="46"/>
      <c r="W164" s="46"/>
      <c r="X164" s="46"/>
      <c r="Y164" s="46"/>
    </row>
    <row r="165" spans="21:25" x14ac:dyDescent="0.35">
      <c r="U165" s="22"/>
      <c r="V165" s="46"/>
      <c r="W165" s="46"/>
      <c r="X165" s="46"/>
      <c r="Y165" s="46"/>
    </row>
    <row r="166" spans="21:25" x14ac:dyDescent="0.35">
      <c r="U166" s="22"/>
      <c r="V166" s="46"/>
      <c r="W166" s="46"/>
      <c r="X166" s="46"/>
      <c r="Y166" s="46"/>
    </row>
    <row r="167" spans="21:25" x14ac:dyDescent="0.35">
      <c r="U167" s="22"/>
      <c r="V167" s="46"/>
      <c r="W167" s="46"/>
      <c r="X167" s="46"/>
      <c r="Y167" s="46"/>
    </row>
    <row r="168" spans="21:25" x14ac:dyDescent="0.35">
      <c r="U168" s="22"/>
      <c r="V168" s="46"/>
      <c r="W168" s="46"/>
      <c r="X168" s="46"/>
      <c r="Y168" s="46"/>
    </row>
    <row r="169" spans="21:25" x14ac:dyDescent="0.35">
      <c r="U169" s="22"/>
      <c r="V169" s="46"/>
      <c r="W169" s="46"/>
      <c r="X169" s="46"/>
      <c r="Y169" s="46"/>
    </row>
    <row r="170" spans="21:25" x14ac:dyDescent="0.35">
      <c r="U170" s="22"/>
      <c r="V170" s="46"/>
      <c r="W170" s="46"/>
      <c r="X170" s="46"/>
      <c r="Y170" s="46"/>
    </row>
    <row r="171" spans="21:25" x14ac:dyDescent="0.35">
      <c r="U171" s="22"/>
      <c r="V171" s="46"/>
      <c r="W171" s="46"/>
      <c r="X171" s="46"/>
      <c r="Y171" s="46"/>
    </row>
    <row r="172" spans="21:25" x14ac:dyDescent="0.35">
      <c r="U172" s="22"/>
      <c r="V172" s="46"/>
      <c r="W172" s="46"/>
      <c r="X172" s="46"/>
      <c r="Y172" s="46"/>
    </row>
    <row r="173" spans="21:25" x14ac:dyDescent="0.35">
      <c r="U173" s="22"/>
      <c r="V173" s="46"/>
      <c r="W173" s="46"/>
      <c r="X173" s="46"/>
      <c r="Y173" s="46"/>
    </row>
    <row r="174" spans="21:25" x14ac:dyDescent="0.35">
      <c r="U174" s="22"/>
      <c r="V174" s="46"/>
      <c r="W174" s="46"/>
      <c r="X174" s="46"/>
      <c r="Y174" s="46"/>
    </row>
    <row r="175" spans="21:25" x14ac:dyDescent="0.35">
      <c r="U175" s="22"/>
      <c r="V175" s="46"/>
      <c r="W175" s="46"/>
      <c r="X175" s="46"/>
      <c r="Y175" s="46"/>
    </row>
    <row r="176" spans="21:25" x14ac:dyDescent="0.35">
      <c r="U176" s="22"/>
      <c r="V176" s="46"/>
      <c r="W176" s="46"/>
      <c r="X176" s="46"/>
      <c r="Y176" s="46"/>
    </row>
    <row r="177" spans="21:25" x14ac:dyDescent="0.35">
      <c r="U177" s="22"/>
      <c r="V177" s="46"/>
      <c r="W177" s="46"/>
      <c r="X177" s="46"/>
      <c r="Y177" s="46"/>
    </row>
    <row r="178" spans="21:25" x14ac:dyDescent="0.35">
      <c r="U178" s="22"/>
      <c r="V178" s="46"/>
      <c r="W178" s="46"/>
      <c r="X178" s="46"/>
      <c r="Y178" s="46"/>
    </row>
    <row r="179" spans="21:25" x14ac:dyDescent="0.35">
      <c r="U179" s="22"/>
      <c r="V179" s="46"/>
      <c r="W179" s="46"/>
      <c r="X179" s="46"/>
      <c r="Y179" s="46"/>
    </row>
  </sheetData>
  <sheetProtection password="CD8C" sheet="1" objects="1" scenarios="1"/>
  <mergeCells count="9">
    <mergeCell ref="A13:B13"/>
    <mergeCell ref="G1:G2"/>
    <mergeCell ref="K1:K2"/>
    <mergeCell ref="O1:O2"/>
    <mergeCell ref="S1:S2"/>
    <mergeCell ref="G5:G6"/>
    <mergeCell ref="K5:K6"/>
    <mergeCell ref="O5:O6"/>
    <mergeCell ref="S5:S6"/>
  </mergeCells>
  <phoneticPr fontId="1" type="noConversion"/>
  <pageMargins left="0.74803149606299213" right="0.74803149606299213" top="0.98425196850393704" bottom="0.98425196850393704" header="0.51181102362204722" footer="0.51181102362204722"/>
  <pageSetup scale="7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ISTA Rules - 5.8</vt:lpstr>
      <vt:lpstr>'ISTA Rules - 5.8'!Print_Area</vt:lpstr>
    </vt:vector>
  </TitlesOfParts>
  <Company>Pioneer, A DuPont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 Laffont</dc:creator>
  <cp:lastModifiedBy>Yoana Uzunova, Marketing and Communication Expert</cp:lastModifiedBy>
  <cp:lastPrinted>2010-12-03T16:43:58Z</cp:lastPrinted>
  <dcterms:created xsi:type="dcterms:W3CDTF">2009-11-11T07:53:19Z</dcterms:created>
  <dcterms:modified xsi:type="dcterms:W3CDTF">2021-11-12T13:14:44Z</dcterms:modified>
</cp:coreProperties>
</file>